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laquino_semprautilities_com/Documents/User Folders/Desktop/"/>
    </mc:Choice>
  </mc:AlternateContent>
  <xr:revisionPtr revIDLastSave="0" documentId="8_{F5789F14-3F2F-479B-B61A-9221D5FFE697}" xr6:coauthVersionLast="45" xr6:coauthVersionMax="45" xr10:uidLastSave="{00000000-0000-0000-0000-000000000000}"/>
  <bookViews>
    <workbookView xWindow="-120" yWindow="-120" windowWidth="29040" windowHeight="15840" activeTab="2" xr2:uid="{1DE9206F-D67A-4A41-8637-06CFE25959E7}"/>
  </bookViews>
  <sheets>
    <sheet name="CalPA DR4-Q3 2020" sheetId="3" r:id="rId1"/>
    <sheet name="CalPA DR4-Q3 2021" sheetId="6" r:id="rId2"/>
    <sheet name="CalPA DR4-Q3 2022" sheetId="7" r:id="rId3"/>
  </sheets>
  <definedNames>
    <definedName name="_xlnm._FilterDatabase" localSheetId="1" hidden="1">'CalPA DR4-Q3 2021'!$A$2:$F$43</definedName>
    <definedName name="_xlnm._FilterDatabase" localSheetId="2" hidden="1">'CalPA DR4-Q3 2022'!$A$2:$F$43</definedName>
    <definedName name="ID" localSheetId="0" hidden="1">"ba2cb7dc-799f-434a-932f-c8066538c1cf"</definedName>
    <definedName name="ID" localSheetId="1" hidden="1">"d86d78a1-540f-404f-a32a-a35eb0f64024"</definedName>
    <definedName name="ID" localSheetId="2" hidden="1">"a3816823-c5c9-425d-a6ff-2ce25a7b19ab"</definedName>
    <definedName name="_xlnm.Print_Area" localSheetId="0">'CalPA DR4-Q3 2020'!$A$1:$F$57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7" i="7" l="1"/>
  <c r="C55" i="7"/>
  <c r="C54" i="7"/>
  <c r="C53" i="7"/>
  <c r="C58" i="7" s="1"/>
  <c r="B39" i="6"/>
  <c r="B38" i="6"/>
  <c r="E53" i="3" l="1"/>
  <c r="B47" i="6" l="1"/>
  <c r="F53" i="3" l="1"/>
  <c r="B43" i="7" l="1"/>
  <c r="I14" i="7" s="1"/>
  <c r="B42" i="7"/>
  <c r="H15" i="7" s="1"/>
  <c r="B41" i="7"/>
  <c r="G12" i="7" s="1"/>
  <c r="B39" i="7"/>
  <c r="B34" i="7"/>
  <c r="B38" i="7" s="1"/>
  <c r="B47" i="7" s="1"/>
  <c r="F33" i="7"/>
  <c r="E29" i="7"/>
  <c r="J28" i="7"/>
  <c r="K28" i="7" s="1"/>
  <c r="M28" i="7" s="1"/>
  <c r="J27" i="7"/>
  <c r="K27" i="7" s="1"/>
  <c r="M27" i="7" s="1"/>
  <c r="J26" i="7"/>
  <c r="K26" i="7" s="1"/>
  <c r="M26" i="7" s="1"/>
  <c r="J25" i="7"/>
  <c r="K25" i="7" s="1"/>
  <c r="M25" i="7" s="1"/>
  <c r="J24" i="7"/>
  <c r="K24" i="7" s="1"/>
  <c r="M24" i="7" s="1"/>
  <c r="J23" i="7"/>
  <c r="K23" i="7" s="1"/>
  <c r="M23" i="7" s="1"/>
  <c r="J22" i="7"/>
  <c r="K22" i="7" s="1"/>
  <c r="M22" i="7" s="1"/>
  <c r="J21" i="7"/>
  <c r="K21" i="7" s="1"/>
  <c r="M21" i="7" s="1"/>
  <c r="J20" i="7"/>
  <c r="E18" i="7"/>
  <c r="I8" i="7"/>
  <c r="C57" i="6"/>
  <c r="C55" i="6"/>
  <c r="C54" i="6"/>
  <c r="C53" i="6"/>
  <c r="B49" i="6"/>
  <c r="B48" i="6"/>
  <c r="C47" i="6"/>
  <c r="B43" i="6"/>
  <c r="I16" i="6" s="1"/>
  <c r="B42" i="6"/>
  <c r="H4" i="6" s="1"/>
  <c r="B41" i="6"/>
  <c r="G9" i="6" s="1"/>
  <c r="F34" i="6"/>
  <c r="F33" i="6"/>
  <c r="E29" i="6"/>
  <c r="J28" i="6"/>
  <c r="K28" i="6" s="1"/>
  <c r="M28" i="6" s="1"/>
  <c r="J27" i="6"/>
  <c r="K27" i="6" s="1"/>
  <c r="M27" i="6" s="1"/>
  <c r="J26" i="6"/>
  <c r="K26" i="6" s="1"/>
  <c r="M26" i="6" s="1"/>
  <c r="J25" i="6"/>
  <c r="K25" i="6" s="1"/>
  <c r="M25" i="6" s="1"/>
  <c r="J24" i="6"/>
  <c r="K24" i="6" s="1"/>
  <c r="M24" i="6" s="1"/>
  <c r="J23" i="6"/>
  <c r="K23" i="6" s="1"/>
  <c r="M23" i="6" s="1"/>
  <c r="J22" i="6"/>
  <c r="K22" i="6" s="1"/>
  <c r="M22" i="6" s="1"/>
  <c r="J21" i="6"/>
  <c r="K21" i="6" s="1"/>
  <c r="M21" i="6" s="1"/>
  <c r="J20" i="6"/>
  <c r="E18" i="6"/>
  <c r="I15" i="7" l="1"/>
  <c r="I15" i="6"/>
  <c r="I3" i="6"/>
  <c r="I5" i="6"/>
  <c r="I9" i="6"/>
  <c r="G10" i="6"/>
  <c r="I7" i="6"/>
  <c r="G11" i="6"/>
  <c r="I11" i="6"/>
  <c r="G12" i="6"/>
  <c r="I13" i="6"/>
  <c r="G6" i="7"/>
  <c r="G14" i="7"/>
  <c r="G10" i="7"/>
  <c r="F34" i="7"/>
  <c r="F35" i="7" s="1"/>
  <c r="B48" i="7"/>
  <c r="C48" i="7" s="1"/>
  <c r="B49" i="7"/>
  <c r="C49" i="7" s="1"/>
  <c r="C47" i="7"/>
  <c r="F35" i="6"/>
  <c r="I9" i="7"/>
  <c r="I16" i="7"/>
  <c r="H3" i="7"/>
  <c r="H10" i="7"/>
  <c r="I17" i="7"/>
  <c r="H9" i="7"/>
  <c r="I3" i="7"/>
  <c r="G14" i="6"/>
  <c r="H4" i="7"/>
  <c r="H11" i="7"/>
  <c r="H17" i="7"/>
  <c r="G13" i="6"/>
  <c r="G5" i="6"/>
  <c r="I11" i="7"/>
  <c r="G15" i="6"/>
  <c r="C48" i="6"/>
  <c r="H5" i="7"/>
  <c r="H12" i="7"/>
  <c r="G6" i="6"/>
  <c r="G16" i="6"/>
  <c r="C49" i="6"/>
  <c r="I5" i="7"/>
  <c r="I12" i="7"/>
  <c r="G7" i="6"/>
  <c r="H13" i="7"/>
  <c r="H16" i="7"/>
  <c r="I10" i="7"/>
  <c r="G17" i="6"/>
  <c r="I17" i="6"/>
  <c r="H6" i="7"/>
  <c r="I13" i="7"/>
  <c r="G4" i="6"/>
  <c r="G8" i="6"/>
  <c r="I6" i="7"/>
  <c r="G3" i="6"/>
  <c r="I4" i="7"/>
  <c r="H8" i="6"/>
  <c r="H7" i="7"/>
  <c r="H14" i="7"/>
  <c r="I7" i="7"/>
  <c r="C58" i="6"/>
  <c r="H8" i="7"/>
  <c r="H6" i="6"/>
  <c r="H17" i="6"/>
  <c r="H15" i="6"/>
  <c r="H13" i="6"/>
  <c r="H11" i="6"/>
  <c r="H9" i="6"/>
  <c r="H7" i="6"/>
  <c r="H5" i="6"/>
  <c r="H3" i="6"/>
  <c r="H16" i="6"/>
  <c r="J16" i="6" s="1"/>
  <c r="K16" i="6" s="1"/>
  <c r="M16" i="6" s="1"/>
  <c r="H14" i="6"/>
  <c r="B45" i="7"/>
  <c r="G17" i="7"/>
  <c r="G15" i="7"/>
  <c r="J15" i="7" s="1"/>
  <c r="K15" i="7" s="1"/>
  <c r="M15" i="7" s="1"/>
  <c r="G13" i="7"/>
  <c r="G11" i="7"/>
  <c r="G9" i="7"/>
  <c r="G7" i="7"/>
  <c r="G5" i="7"/>
  <c r="G3" i="7"/>
  <c r="H12" i="6"/>
  <c r="K20" i="6"/>
  <c r="J29" i="6"/>
  <c r="G4" i="7"/>
  <c r="G8" i="7"/>
  <c r="G16" i="7"/>
  <c r="H10" i="6"/>
  <c r="B45" i="6"/>
  <c r="J29" i="7"/>
  <c r="K20" i="7"/>
  <c r="I4" i="6"/>
  <c r="I6" i="6"/>
  <c r="I8" i="6"/>
  <c r="I10" i="6"/>
  <c r="I12" i="6"/>
  <c r="I14" i="6"/>
  <c r="J6" i="7" l="1"/>
  <c r="K6" i="7" s="1"/>
  <c r="M6" i="7" s="1"/>
  <c r="J15" i="6"/>
  <c r="K15" i="6" s="1"/>
  <c r="M15" i="6" s="1"/>
  <c r="J10" i="7"/>
  <c r="K10" i="7" s="1"/>
  <c r="M10" i="7" s="1"/>
  <c r="J17" i="6"/>
  <c r="K17" i="6" s="1"/>
  <c r="M17" i="6" s="1"/>
  <c r="J6" i="6"/>
  <c r="K6" i="6" s="1"/>
  <c r="M6" i="6" s="1"/>
  <c r="J12" i="6"/>
  <c r="K12" i="6" s="1"/>
  <c r="M12" i="6" s="1"/>
  <c r="J9" i="6"/>
  <c r="K9" i="6" s="1"/>
  <c r="M9" i="6" s="1"/>
  <c r="G18" i="6"/>
  <c r="I18" i="6"/>
  <c r="J10" i="6"/>
  <c r="K10" i="6" s="1"/>
  <c r="M10" i="6" s="1"/>
  <c r="J14" i="6"/>
  <c r="K14" i="6" s="1"/>
  <c r="M14" i="6" s="1"/>
  <c r="J11" i="6"/>
  <c r="K11" i="6" s="1"/>
  <c r="M11" i="6" s="1"/>
  <c r="J7" i="6"/>
  <c r="K7" i="6" s="1"/>
  <c r="M7" i="6" s="1"/>
  <c r="J12" i="7"/>
  <c r="K12" i="7" s="1"/>
  <c r="M12" i="7" s="1"/>
  <c r="J14" i="7"/>
  <c r="K14" i="7" s="1"/>
  <c r="M14" i="7" s="1"/>
  <c r="J5" i="7"/>
  <c r="K5" i="7" s="1"/>
  <c r="M5" i="7" s="1"/>
  <c r="J8" i="7"/>
  <c r="K8" i="7" s="1"/>
  <c r="M8" i="7" s="1"/>
  <c r="J9" i="7"/>
  <c r="K9" i="7" s="1"/>
  <c r="M9" i="7" s="1"/>
  <c r="C50" i="7"/>
  <c r="C60" i="7" s="1"/>
  <c r="D60" i="7" s="1"/>
  <c r="I18" i="7"/>
  <c r="J7" i="7"/>
  <c r="K7" i="7" s="1"/>
  <c r="M7" i="7" s="1"/>
  <c r="H18" i="7"/>
  <c r="J5" i="6"/>
  <c r="K5" i="6" s="1"/>
  <c r="M5" i="6" s="1"/>
  <c r="J13" i="6"/>
  <c r="K13" i="6" s="1"/>
  <c r="M13" i="6" s="1"/>
  <c r="J4" i="6"/>
  <c r="K4" i="6" s="1"/>
  <c r="M4" i="6" s="1"/>
  <c r="J11" i="7"/>
  <c r="K11" i="7" s="1"/>
  <c r="M11" i="7" s="1"/>
  <c r="J16" i="7"/>
  <c r="K16" i="7" s="1"/>
  <c r="M16" i="7" s="1"/>
  <c r="J13" i="7"/>
  <c r="K13" i="7" s="1"/>
  <c r="M13" i="7" s="1"/>
  <c r="J8" i="6"/>
  <c r="K8" i="6" s="1"/>
  <c r="M8" i="6" s="1"/>
  <c r="J4" i="7"/>
  <c r="K4" i="7" s="1"/>
  <c r="M4" i="7" s="1"/>
  <c r="J17" i="7"/>
  <c r="K17" i="7" s="1"/>
  <c r="M17" i="7" s="1"/>
  <c r="C50" i="6"/>
  <c r="C60" i="6" s="1"/>
  <c r="D60" i="6" s="1"/>
  <c r="J3" i="7"/>
  <c r="G18" i="7"/>
  <c r="C45" i="7"/>
  <c r="H18" i="6"/>
  <c r="J3" i="6"/>
  <c r="K29" i="7"/>
  <c r="M20" i="7"/>
  <c r="C45" i="6"/>
  <c r="K29" i="6"/>
  <c r="M20" i="6"/>
  <c r="K3" i="6" l="1"/>
  <c r="M3" i="6" s="1"/>
  <c r="J18" i="6"/>
  <c r="K18" i="6" s="1"/>
  <c r="M18" i="6" s="1"/>
  <c r="K3" i="7"/>
  <c r="M3" i="7" s="1"/>
  <c r="J18" i="7"/>
  <c r="K18" i="7" s="1"/>
  <c r="M18" i="7" s="1"/>
  <c r="M29" i="6"/>
  <c r="M29" i="7"/>
  <c r="K31" i="6" l="1"/>
  <c r="K31" i="7"/>
  <c r="M31" i="7"/>
  <c r="M31" i="6"/>
  <c r="G13" i="3" l="1"/>
  <c r="C13" i="3" l="1"/>
  <c r="D13" i="3"/>
  <c r="E13" i="3"/>
  <c r="F13" i="3"/>
  <c r="B13" i="3"/>
  <c r="F50" i="3" l="1"/>
  <c r="E50" i="3"/>
  <c r="D50" i="3"/>
  <c r="C50" i="3"/>
  <c r="B50" i="3"/>
  <c r="F42" i="3"/>
  <c r="E42" i="3"/>
  <c r="D42" i="3"/>
  <c r="C42" i="3"/>
  <c r="B42" i="3"/>
  <c r="D55" i="3" l="1"/>
  <c r="B55" i="3"/>
  <c r="C55" i="3"/>
  <c r="F55" i="3"/>
  <c r="E5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AQUINO, LYNETTE</author>
  </authors>
  <commentList>
    <comment ref="C56" authorId="0" shapeId="0" xr:uid="{D52A08CB-C2FA-47CC-8542-A1176361BC22}">
      <text>
        <r>
          <rPr>
            <sz val="9"/>
            <color indexed="81"/>
            <rFont val="Tahoma"/>
            <family val="2"/>
          </rPr>
          <t>No increase; based on need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AQUINO, LYNETTE</author>
  </authors>
  <commentList>
    <comment ref="C56" authorId="0" shapeId="0" xr:uid="{7B62E7D0-4382-4734-AD99-AE74B1F7F6E2}">
      <text>
        <r>
          <rPr>
            <sz val="9"/>
            <color indexed="81"/>
            <rFont val="Tahoma"/>
            <family val="2"/>
          </rPr>
          <t>No increase; based on need</t>
        </r>
      </text>
    </comment>
  </commentList>
</comments>
</file>

<file path=xl/sharedStrings.xml><?xml version="1.0" encoding="utf-8"?>
<sst xmlns="http://schemas.openxmlformats.org/spreadsheetml/2006/main" count="295" uniqueCount="146">
  <si>
    <t>2020 Total</t>
  </si>
  <si>
    <t>C1242 M121221 UG CABLE UPGRADE</t>
  </si>
  <si>
    <t>C1030 PH. 2A PARADISE MTN RD UG</t>
  </si>
  <si>
    <t>C1030 PH. 2B HELLHOLE CANYON UG</t>
  </si>
  <si>
    <t>C1030, DUG STRATEGIC UG - UG</t>
  </si>
  <si>
    <t>C1030, DUG STRATEGIC UG-SCADA</t>
  </si>
  <si>
    <t>C1458 PH 1 W VICTORIA DR UG</t>
  </si>
  <si>
    <t>C1458 PH1 W VICTORIA DR UG KSW</t>
  </si>
  <si>
    <t>C1458 PH2 ADMINISTRATION WY UG</t>
  </si>
  <si>
    <t>C1458 PHASE 1 W VICTORIA DR UG</t>
  </si>
  <si>
    <t>C216 HFTD STRATEGIC UG HARRAHS</t>
  </si>
  <si>
    <t>C216 HFTD STRATEGIC UG HARRAHS UG</t>
  </si>
  <si>
    <t>C216 SUG HARRAHS PH1 SCADA</t>
  </si>
  <si>
    <t>C221 DUG PH1 DT JULIAN CON UG</t>
  </si>
  <si>
    <t>C221 DUG PH2 DUDLEYS OH</t>
  </si>
  <si>
    <t>C221 DUG PH4 SPENCER-HWY 79 UG</t>
  </si>
  <si>
    <t>C221: KEARNY SCADA WORK UG</t>
  </si>
  <si>
    <t>C358:DUG VIEJAS CASINO UG</t>
  </si>
  <si>
    <t>C441 DUG UG</t>
  </si>
  <si>
    <t>C442 DUG OH</t>
  </si>
  <si>
    <t>C445 DUG HFTD</t>
  </si>
  <si>
    <t>C445 DUG HFTD SCADA</t>
  </si>
  <si>
    <t>C448 DUG SCADA</t>
  </si>
  <si>
    <t>C448 DUG UG</t>
  </si>
  <si>
    <t>C79 HFTD TIER 3 UG PHASE 1</t>
  </si>
  <si>
    <t>C79: DUG</t>
  </si>
  <si>
    <t>C79: DUG - UG SCADA</t>
  </si>
  <si>
    <t>CAMERON STRATEGIC UNDERGROUNDIN</t>
  </si>
  <si>
    <t>DESCANSO C79 UNDERGROUNDING</t>
  </si>
  <si>
    <t>GLENCLIFF 12KV STRATEGIC UNDERG</t>
  </si>
  <si>
    <t>RINCON SUBS CIR 216 OH TO UG CO</t>
  </si>
  <si>
    <t>SANTA YSABEL SUBS-C221 &amp; C222</t>
  </si>
  <si>
    <t>Grand Total</t>
  </si>
  <si>
    <t xml:space="preserve">Services </t>
  </si>
  <si>
    <t>Materials</t>
  </si>
  <si>
    <t>Internal Labor &amp; Expenses</t>
  </si>
  <si>
    <t>Discounts &amp; Other</t>
  </si>
  <si>
    <t>Project</t>
  </si>
  <si>
    <t>C1030 Phase 1</t>
  </si>
  <si>
    <t>Apollo C357 Job 1 and Job 2</t>
  </si>
  <si>
    <t>C221 Phase 1</t>
  </si>
  <si>
    <t>C221 Phase 2</t>
  </si>
  <si>
    <t>C1021 Ext UG to Lilac HS</t>
  </si>
  <si>
    <t>C75 DUG</t>
  </si>
  <si>
    <t>Total</t>
  </si>
  <si>
    <t>Sub-total</t>
  </si>
  <si>
    <t>Direct Cost</t>
  </si>
  <si>
    <t>SUG Projects In-Service (2020)</t>
  </si>
  <si>
    <t>SUG Substation Projects</t>
  </si>
  <si>
    <t>SUG Engineering/Design, Internal Labor, and Project Support</t>
  </si>
  <si>
    <t>Mileage Energized</t>
  </si>
  <si>
    <t>C754</t>
  </si>
  <si>
    <t>SUG Projects in Early Construction for 2021</t>
  </si>
  <si>
    <t>Engineering &amp; Design</t>
  </si>
  <si>
    <t>Construction</t>
  </si>
  <si>
    <t>SUG 2021 - Design and Construction Budget Updated</t>
  </si>
  <si>
    <t>Year</t>
  </si>
  <si>
    <t>Circuit Number</t>
  </si>
  <si>
    <t>General 
Information</t>
  </si>
  <si>
    <t>Status</t>
  </si>
  <si>
    <t># UG Miles</t>
  </si>
  <si>
    <t>District</t>
  </si>
  <si>
    <t>Design</t>
  </si>
  <si>
    <t>Civil</t>
  </si>
  <si>
    <t>Electrical</t>
  </si>
  <si>
    <t>Material</t>
  </si>
  <si>
    <t>Adjusted</t>
  </si>
  <si>
    <t>Cost Per Mile</t>
  </si>
  <si>
    <t>Notes</t>
  </si>
  <si>
    <t>C1030</t>
  </si>
  <si>
    <t>Phase 2A (Paradise Mtn.)</t>
  </si>
  <si>
    <t>In Construction</t>
  </si>
  <si>
    <t>Adjusted for charges in 2020, Civil is 18% done</t>
  </si>
  <si>
    <t>Phase 2B (Hell Hole Canyon)</t>
  </si>
  <si>
    <t>Civil is 85% done</t>
  </si>
  <si>
    <t>DUG Ph.1 Valley Center</t>
  </si>
  <si>
    <t>In bid</t>
  </si>
  <si>
    <t>C1458</t>
  </si>
  <si>
    <t>Quick Win PH.1A W. Victoria Rd</t>
  </si>
  <si>
    <t>Adjusted for Charges in 2020, 20% Civil Complete</t>
  </si>
  <si>
    <t xml:space="preserve">C221 </t>
  </si>
  <si>
    <t>DUG PH.2 (ST to Dudley's)</t>
  </si>
  <si>
    <t>In Design</t>
  </si>
  <si>
    <t>DUG PH.1 (Dwntn Julian Connection)</t>
  </si>
  <si>
    <t>DUG PH.4 (Spencer Sch to Hwy 79)</t>
  </si>
  <si>
    <t>C357</t>
  </si>
  <si>
    <t>Quick Win Job#3-- E. Victoria Rd (FIRM)</t>
  </si>
  <si>
    <t xml:space="preserve">C445 </t>
  </si>
  <si>
    <t>DUG</t>
  </si>
  <si>
    <t>C448</t>
  </si>
  <si>
    <t>C79</t>
  </si>
  <si>
    <t xml:space="preserve">DUG - Oak Grove Drive
</t>
  </si>
  <si>
    <t>In Bid</t>
  </si>
  <si>
    <t xml:space="preserve">C216 </t>
  </si>
  <si>
    <t>DUG PH.1 to Rincon's Harrah's Casino</t>
  </si>
  <si>
    <t xml:space="preserve">Project schedule with more uncertainty at the moment. </t>
  </si>
  <si>
    <t xml:space="preserve">C1458 </t>
  </si>
  <si>
    <t>Quick Win PH.1B Across Caltrans</t>
  </si>
  <si>
    <t>Quick Win PH.2 AL Elem School</t>
  </si>
  <si>
    <t>Microgric Solution partnership w/ SUG</t>
  </si>
  <si>
    <t>C210</t>
  </si>
  <si>
    <t>C221</t>
  </si>
  <si>
    <t>DUG PH.3 (ST to Spencer Sch.)*</t>
  </si>
  <si>
    <t>C235</t>
  </si>
  <si>
    <t xml:space="preserve">DUG </t>
  </si>
  <si>
    <t>C355</t>
  </si>
  <si>
    <t>C358*</t>
  </si>
  <si>
    <t>DUG*</t>
  </si>
  <si>
    <t>C441</t>
  </si>
  <si>
    <t>C442</t>
  </si>
  <si>
    <t>Ph.1 Sherilton Valley*</t>
  </si>
  <si>
    <t>C908</t>
  </si>
  <si>
    <t>Line Energized Goal</t>
  </si>
  <si>
    <t>Miles</t>
  </si>
  <si>
    <t>Original Design</t>
  </si>
  <si>
    <t>Original design plan</t>
  </si>
  <si>
    <t>Addtl Design</t>
  </si>
  <si>
    <t>To support 2022 80mi construction</t>
  </si>
  <si>
    <t>Original Construction</t>
  </si>
  <si>
    <t>Original Target miles</t>
  </si>
  <si>
    <t>Early/Addtl Construction</t>
  </si>
  <si>
    <t>Early construction to support 2022 80mi construction scope increase</t>
  </si>
  <si>
    <t>Total Design</t>
  </si>
  <si>
    <t>Total Construction</t>
  </si>
  <si>
    <t>Cost/mile Unit Based on 2020 Actuals</t>
  </si>
  <si>
    <t>20% increase</t>
  </si>
  <si>
    <t>Other Support</t>
  </si>
  <si>
    <t>Direct - $'s</t>
  </si>
  <si>
    <t>Other</t>
  </si>
  <si>
    <r>
      <t xml:space="preserve">2021 w/ </t>
    </r>
    <r>
      <rPr>
        <b/>
        <i/>
        <sz val="11"/>
        <color rgb="FF0000FF"/>
        <rFont val="Calibri"/>
        <family val="2"/>
        <scheme val="minor"/>
      </rPr>
      <t>20%</t>
    </r>
    <r>
      <rPr>
        <b/>
        <i/>
        <sz val="11"/>
        <color theme="1"/>
        <rFont val="Calibri"/>
        <family val="2"/>
        <scheme val="minor"/>
      </rPr>
      <t xml:space="preserve"> increase due to scope increase</t>
    </r>
  </si>
  <si>
    <t>Environmental</t>
  </si>
  <si>
    <t>Land Services</t>
  </si>
  <si>
    <t>Project Support</t>
  </si>
  <si>
    <t>Substation Engineering</t>
  </si>
  <si>
    <t>Internal Labor</t>
  </si>
  <si>
    <t xml:space="preserve">Difference compare from 2/2/21 submittal: </t>
  </si>
  <si>
    <t>SUG 2022 - Design and Construction Budget Updated</t>
  </si>
  <si>
    <t>To support 2023 125mi construction</t>
  </si>
  <si>
    <t>N/A</t>
  </si>
  <si>
    <t>To support 2020-2022 135mi construction goal</t>
  </si>
  <si>
    <t>40% increase</t>
  </si>
  <si>
    <r>
      <t>HFTD - Strategic Undergrounding Capital Spend - 2020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</si>
  <si>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Reflects CPUC jurisdiction costs only</t>
    </r>
  </si>
  <si>
    <t>Provided in 2020 WMP Filing was 15.58 miles, which shows 0.12miles difference. This should be corrected to 15.5 miles</t>
  </si>
  <si>
    <r>
      <t>2021 w/</t>
    </r>
    <r>
      <rPr>
        <b/>
        <i/>
        <sz val="11"/>
        <color rgb="FF0000FF"/>
        <rFont val="Calibri"/>
        <family val="2"/>
        <scheme val="minor"/>
      </rPr>
      <t xml:space="preserve"> 40%</t>
    </r>
    <r>
      <rPr>
        <b/>
        <i/>
        <sz val="11"/>
        <color theme="1"/>
        <rFont val="Calibri"/>
        <family val="2"/>
        <scheme val="minor"/>
      </rPr>
      <t xml:space="preserve"> increase due to scope increase</t>
    </r>
  </si>
  <si>
    <t>Total 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</si>
</sst>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theme="8" tint="0.59996337778862885"/>
      </left>
      <right style="thin">
        <color rgb="FF8EA9DB"/>
      </right>
      <top style="thin">
        <color theme="0"/>
      </top>
      <bottom style="medium">
        <color theme="8"/>
      </bottom>
      <diagonal/>
    </border>
    <border>
      <left style="thin">
        <color theme="8" tint="0.79995117038483843"/>
      </left>
      <right style="thin">
        <color rgb="FF8EA9DB"/>
      </right>
      <top style="thin">
        <color rgb="FF8EA9DB"/>
      </top>
      <bottom style="thin">
        <color rgb="FF8EA9DB"/>
      </bottom>
      <diagonal/>
    </border>
    <border>
      <left/>
      <right/>
      <top style="thin">
        <color rgb="FF8EA9DB"/>
      </top>
      <bottom style="thin">
        <color rgb="FF8EA9DB"/>
      </bottom>
      <diagonal/>
    </border>
    <border>
      <left/>
      <right style="thin">
        <color theme="8" tint="0.79995117038483843"/>
      </right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 tint="0.59996337778862885"/>
      </left>
      <right/>
      <top style="thin">
        <color theme="0"/>
      </top>
      <bottom style="thin">
        <color theme="0"/>
      </bottom>
      <diagonal/>
    </border>
    <border>
      <left style="thin">
        <color rgb="FF8EA9DB"/>
      </left>
      <right style="thin">
        <color rgb="FF8EA9DB"/>
      </right>
      <top style="thin">
        <color rgb="FF8EA9DB"/>
      </top>
      <bottom style="thin">
        <color rgb="FF8EA9DB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EA9DB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1" xfId="0" applyFont="1" applyBorder="1" applyAlignment="1">
      <alignment horizontal="center"/>
    </xf>
    <xf numFmtId="164" fontId="4" fillId="0" borderId="3" xfId="0" applyNumberFormat="1" applyFont="1" applyBorder="1"/>
    <xf numFmtId="164" fontId="3" fillId="2" borderId="4" xfId="0" applyNumberFormat="1" applyFont="1" applyFill="1" applyBorder="1"/>
    <xf numFmtId="0" fontId="4" fillId="7" borderId="2" xfId="0" applyFont="1" applyFill="1" applyBorder="1" applyAlignment="1">
      <alignment horizontal="center" vertical="center" wrapText="1"/>
    </xf>
    <xf numFmtId="164" fontId="4" fillId="0" borderId="0" xfId="0" applyNumberFormat="1" applyFont="1" applyBorder="1"/>
    <xf numFmtId="0" fontId="5" fillId="7" borderId="2" xfId="0" applyFont="1" applyFill="1" applyBorder="1" applyAlignment="1">
      <alignment horizontal="center" vertical="center" wrapText="1"/>
    </xf>
    <xf numFmtId="164" fontId="5" fillId="0" borderId="0" xfId="0" applyNumberFormat="1" applyFont="1" applyBorder="1"/>
    <xf numFmtId="0" fontId="0" fillId="9" borderId="0" xfId="0" applyFill="1"/>
    <xf numFmtId="0" fontId="3" fillId="9" borderId="5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4" fontId="5" fillId="9" borderId="0" xfId="0" applyNumberFormat="1" applyFont="1" applyFill="1" applyBorder="1"/>
    <xf numFmtId="164" fontId="5" fillId="9" borderId="6" xfId="0" applyNumberFormat="1" applyFont="1" applyFill="1" applyBorder="1"/>
    <xf numFmtId="164" fontId="0" fillId="9" borderId="0" xfId="0" applyNumberFormat="1" applyFill="1"/>
    <xf numFmtId="43" fontId="0" fillId="9" borderId="0" xfId="0" applyNumberFormat="1" applyFill="1"/>
    <xf numFmtId="164" fontId="0" fillId="9" borderId="0" xfId="2" applyNumberFormat="1" applyFont="1" applyFill="1"/>
    <xf numFmtId="164" fontId="0" fillId="0" borderId="0" xfId="2" applyNumberFormat="1" applyFont="1"/>
    <xf numFmtId="0" fontId="7" fillId="9" borderId="0" xfId="0" applyFont="1" applyFill="1"/>
    <xf numFmtId="0" fontId="8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/>
    </xf>
    <xf numFmtId="0" fontId="0" fillId="11" borderId="11" xfId="0" applyFill="1" applyBorder="1"/>
    <xf numFmtId="0" fontId="0" fillId="11" borderId="12" xfId="0" applyFill="1" applyBorder="1"/>
    <xf numFmtId="2" fontId="0" fillId="11" borderId="13" xfId="0" applyNumberFormat="1" applyFill="1" applyBorder="1"/>
    <xf numFmtId="0" fontId="3" fillId="0" borderId="0" xfId="0" applyFont="1" applyAlignment="1">
      <alignment horizontal="center" vertical="center" textRotation="90"/>
    </xf>
    <xf numFmtId="44" fontId="0" fillId="0" borderId="0" xfId="0" applyNumberFormat="1"/>
    <xf numFmtId="44" fontId="0" fillId="10" borderId="0" xfId="0" applyNumberFormat="1" applyFill="1"/>
    <xf numFmtId="0" fontId="0" fillId="0" borderId="11" xfId="0" applyBorder="1"/>
    <xf numFmtId="0" fontId="0" fillId="0" borderId="12" xfId="0" applyBorder="1"/>
    <xf numFmtId="43" fontId="0" fillId="0" borderId="13" xfId="2" applyFont="1" applyBorder="1"/>
    <xf numFmtId="43" fontId="0" fillId="11" borderId="13" xfId="2" applyFont="1" applyFill="1" applyBorder="1"/>
    <xf numFmtId="0" fontId="3" fillId="0" borderId="0" xfId="0" applyFont="1" applyAlignment="1">
      <alignment horizontal="center" vertical="center" textRotation="90" wrapText="1"/>
    </xf>
    <xf numFmtId="2" fontId="3" fillId="0" borderId="0" xfId="0" applyNumberFormat="1" applyFont="1" applyAlignment="1">
      <alignment vertical="center"/>
    </xf>
    <xf numFmtId="44" fontId="0" fillId="0" borderId="6" xfId="0" applyNumberFormat="1" applyBorder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vertical="center" textRotation="90"/>
    </xf>
    <xf numFmtId="2" fontId="3" fillId="0" borderId="0" xfId="0" applyNumberFormat="1" applyFont="1" applyAlignment="1">
      <alignment horizontal="center" vertical="center" textRotation="90"/>
    </xf>
    <xf numFmtId="0" fontId="9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43" fontId="0" fillId="0" borderId="0" xfId="0" applyNumberFormat="1"/>
    <xf numFmtId="0" fontId="11" fillId="0" borderId="0" xfId="0" applyFont="1"/>
    <xf numFmtId="0" fontId="9" fillId="3" borderId="0" xfId="0" applyFont="1" applyFill="1"/>
    <xf numFmtId="43" fontId="9" fillId="3" borderId="0" xfId="0" applyNumberFormat="1" applyFont="1" applyFill="1"/>
    <xf numFmtId="2" fontId="3" fillId="0" borderId="0" xfId="0" applyNumberFormat="1" applyFont="1" applyAlignment="1">
      <alignment horizontal="center" vertical="center"/>
    </xf>
    <xf numFmtId="44" fontId="9" fillId="12" borderId="14" xfId="0" applyNumberFormat="1" applyFont="1" applyFill="1" applyBorder="1"/>
    <xf numFmtId="0" fontId="3" fillId="12" borderId="15" xfId="0" applyFont="1" applyFill="1" applyBorder="1" applyAlignment="1">
      <alignment horizontal="center" vertical="center" textRotation="90"/>
    </xf>
    <xf numFmtId="9" fontId="0" fillId="0" borderId="0" xfId="3" applyFont="1"/>
    <xf numFmtId="44" fontId="3" fillId="12" borderId="16" xfId="0" applyNumberFormat="1" applyFont="1" applyFill="1" applyBorder="1"/>
    <xf numFmtId="44" fontId="12" fillId="12" borderId="17" xfId="0" applyNumberFormat="1" applyFont="1" applyFill="1" applyBorder="1"/>
    <xf numFmtId="44" fontId="3" fillId="12" borderId="18" xfId="0" applyNumberFormat="1" applyFont="1" applyFill="1" applyBorder="1"/>
    <xf numFmtId="0" fontId="12" fillId="12" borderId="19" xfId="0" applyFont="1" applyFill="1" applyBorder="1"/>
    <xf numFmtId="0" fontId="3" fillId="2" borderId="0" xfId="0" applyFont="1" applyFill="1"/>
    <xf numFmtId="44" fontId="3" fillId="2" borderId="6" xfId="0" applyNumberFormat="1" applyFont="1" applyFill="1" applyBorder="1"/>
    <xf numFmtId="9" fontId="0" fillId="2" borderId="6" xfId="3" applyFont="1" applyFill="1" applyBorder="1"/>
    <xf numFmtId="0" fontId="0" fillId="2" borderId="0" xfId="0" applyFill="1"/>
    <xf numFmtId="2" fontId="0" fillId="0" borderId="0" xfId="0" applyNumberFormat="1"/>
    <xf numFmtId="9" fontId="0" fillId="0" borderId="0" xfId="3" applyFont="1" applyAlignment="1">
      <alignment horizontal="center"/>
    </xf>
    <xf numFmtId="165" fontId="0" fillId="0" borderId="0" xfId="0" applyNumberFormat="1"/>
    <xf numFmtId="165" fontId="0" fillId="0" borderId="0" xfId="2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left" indent="2"/>
    </xf>
    <xf numFmtId="44" fontId="0" fillId="0" borderId="20" xfId="0" applyNumberFormat="1" applyBorder="1"/>
    <xf numFmtId="0" fontId="9" fillId="10" borderId="21" xfId="0" applyFont="1" applyFill="1" applyBorder="1" applyAlignment="1">
      <alignment horizontal="left" indent="2"/>
    </xf>
    <xf numFmtId="0" fontId="14" fillId="10" borderId="21" xfId="0" applyFont="1" applyFill="1" applyBorder="1"/>
    <xf numFmtId="165" fontId="9" fillId="10" borderId="21" xfId="0" applyNumberFormat="1" applyFont="1" applyFill="1" applyBorder="1"/>
    <xf numFmtId="0" fontId="12" fillId="0" borderId="0" xfId="0" applyFont="1"/>
    <xf numFmtId="44" fontId="0" fillId="0" borderId="0" xfId="1" applyFont="1"/>
    <xf numFmtId="165" fontId="3" fillId="0" borderId="0" xfId="0" applyNumberFormat="1" applyFont="1"/>
    <xf numFmtId="9" fontId="7" fillId="0" borderId="0" xfId="3" applyFont="1"/>
    <xf numFmtId="0" fontId="0" fillId="0" borderId="0" xfId="0" applyAlignment="1">
      <alignment horizontal="right"/>
    </xf>
    <xf numFmtId="43" fontId="0" fillId="0" borderId="0" xfId="0" applyNumberFormat="1" applyAlignment="1">
      <alignment horizontal="right"/>
    </xf>
    <xf numFmtId="0" fontId="9" fillId="10" borderId="21" xfId="0" applyFont="1" applyFill="1" applyBorder="1"/>
    <xf numFmtId="164" fontId="7" fillId="9" borderId="0" xfId="0" applyNumberFormat="1" applyFont="1" applyFill="1"/>
    <xf numFmtId="44" fontId="0" fillId="0" borderId="0" xfId="1" applyFont="1" applyFill="1"/>
    <xf numFmtId="43" fontId="7" fillId="9" borderId="0" xfId="0" applyNumberFormat="1" applyFont="1" applyFill="1"/>
    <xf numFmtId="43" fontId="16" fillId="0" borderId="0" xfId="0" applyNumberFormat="1" applyFont="1"/>
    <xf numFmtId="43" fontId="16" fillId="0" borderId="0" xfId="0" applyNumberFormat="1" applyFont="1" applyAlignment="1">
      <alignment horizontal="right"/>
    </xf>
    <xf numFmtId="0" fontId="19" fillId="9" borderId="0" xfId="0" applyFont="1" applyFill="1"/>
    <xf numFmtId="166" fontId="3" fillId="9" borderId="0" xfId="0" applyNumberFormat="1" applyFont="1" applyFill="1"/>
    <xf numFmtId="43" fontId="7" fillId="10" borderId="0" xfId="0" applyNumberFormat="1" applyFont="1" applyFill="1"/>
    <xf numFmtId="5" fontId="20" fillId="13" borderId="0" xfId="0" applyNumberFormat="1" applyFont="1" applyFill="1" applyAlignment="1">
      <alignment horizontal="left"/>
    </xf>
    <xf numFmtId="0" fontId="11" fillId="13" borderId="0" xfId="0" applyFont="1" applyFill="1"/>
    <xf numFmtId="0" fontId="3" fillId="13" borderId="0" xfId="0" applyFont="1" applyFill="1"/>
    <xf numFmtId="6" fontId="11" fillId="13" borderId="0" xfId="0" applyNumberFormat="1" applyFont="1" applyFill="1"/>
    <xf numFmtId="0" fontId="7" fillId="10" borderId="0" xfId="0" applyFont="1" applyFill="1"/>
    <xf numFmtId="0" fontId="0" fillId="10" borderId="0" xfId="0" applyFill="1"/>
    <xf numFmtId="164" fontId="4" fillId="0" borderId="22" xfId="0" applyNumberFormat="1" applyFont="1" applyBorder="1"/>
    <xf numFmtId="164" fontId="4" fillId="0" borderId="23" xfId="0" applyNumberFormat="1" applyFont="1" applyBorder="1"/>
    <xf numFmtId="0" fontId="0" fillId="9" borderId="23" xfId="0" applyFill="1" applyBorder="1"/>
    <xf numFmtId="0" fontId="2" fillId="8" borderId="0" xfId="0" applyFont="1" applyFill="1" applyBorder="1" applyAlignment="1">
      <alignment horizontal="center" vertical="center" wrapText="1"/>
    </xf>
    <xf numFmtId="0" fontId="6" fillId="9" borderId="0" xfId="0" applyFont="1" applyFill="1" applyAlignment="1">
      <alignment horizontal="center" vertical="center"/>
    </xf>
    <xf numFmtId="0" fontId="3" fillId="9" borderId="5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165" fontId="0" fillId="0" borderId="0" xfId="0" applyNumberFormat="1" applyFill="1" applyBorder="1"/>
    <xf numFmtId="165" fontId="3" fillId="0" borderId="0" xfId="0" applyNumberFormat="1" applyFont="1" applyFill="1" applyBorder="1"/>
    <xf numFmtId="165" fontId="3" fillId="0" borderId="0" xfId="2" applyNumberFormat="1" applyFont="1" applyFill="1" applyBorder="1"/>
    <xf numFmtId="0" fontId="0" fillId="0" borderId="0" xfId="0" applyBorder="1"/>
    <xf numFmtId="0" fontId="0" fillId="0" borderId="0" xfId="0" applyFill="1"/>
    <xf numFmtId="165" fontId="0" fillId="0" borderId="0" xfId="0" applyNumberFormat="1" applyBorder="1"/>
    <xf numFmtId="165" fontId="0" fillId="0" borderId="0" xfId="2" applyNumberFormat="1" applyFont="1" applyBorder="1"/>
    <xf numFmtId="164" fontId="7" fillId="0" borderId="0" xfId="0" applyNumberFormat="1" applyFont="1" applyFill="1"/>
    <xf numFmtId="0" fontId="7" fillId="0" borderId="0" xfId="0" applyFont="1" applyFill="1"/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477CD-4944-4E2C-A2B3-DDBBB35BCA64}">
  <sheetPr>
    <pageSetUpPr fitToPage="1"/>
  </sheetPr>
  <dimension ref="A1:AK88"/>
  <sheetViews>
    <sheetView topLeftCell="A4" zoomScaleNormal="100" workbookViewId="0">
      <selection activeCell="E61" sqref="E61"/>
    </sheetView>
  </sheetViews>
  <sheetFormatPr defaultRowHeight="15" outlineLevelRow="1" x14ac:dyDescent="0.25"/>
  <cols>
    <col min="1" max="1" width="33.42578125" customWidth="1"/>
    <col min="2" max="2" width="13.28515625" style="21" customWidth="1"/>
    <col min="3" max="6" width="13.28515625" customWidth="1"/>
    <col min="7" max="7" width="8.85546875" style="8"/>
    <col min="8" max="8" width="13.28515625" style="8" bestFit="1" customWidth="1"/>
    <col min="9" max="9" width="11.7109375" style="8" bestFit="1" customWidth="1"/>
    <col min="10" max="37" width="8.85546875" style="8"/>
  </cols>
  <sheetData>
    <row r="1" spans="1:19" s="8" customFormat="1" x14ac:dyDescent="0.25">
      <c r="A1" s="98" t="s">
        <v>141</v>
      </c>
      <c r="B1" s="98"/>
      <c r="C1" s="98"/>
      <c r="D1" s="98"/>
      <c r="E1" s="98"/>
      <c r="F1" s="98"/>
    </row>
    <row r="2" spans="1:19" s="8" customFormat="1" x14ac:dyDescent="0.25">
      <c r="A2" s="98"/>
      <c r="B2" s="98"/>
      <c r="C2" s="98"/>
      <c r="D2" s="98"/>
      <c r="E2" s="98"/>
      <c r="F2" s="98"/>
    </row>
    <row r="3" spans="1:19" s="8" customFormat="1" x14ac:dyDescent="0.25">
      <c r="A3" s="10"/>
      <c r="B3" s="99"/>
      <c r="C3" s="99"/>
      <c r="D3" s="99"/>
      <c r="E3" s="9"/>
    </row>
    <row r="4" spans="1:19" ht="45.75" thickBot="1" x14ac:dyDescent="0.3">
      <c r="A4" s="1" t="s">
        <v>37</v>
      </c>
      <c r="B4" s="11" t="s">
        <v>33</v>
      </c>
      <c r="C4" s="12" t="s">
        <v>34</v>
      </c>
      <c r="D4" s="13" t="s">
        <v>35</v>
      </c>
      <c r="E4" s="14" t="s">
        <v>36</v>
      </c>
      <c r="F4" s="15" t="s">
        <v>0</v>
      </c>
      <c r="G4" s="15" t="s">
        <v>50</v>
      </c>
    </row>
    <row r="5" spans="1:19" ht="33" customHeight="1" x14ac:dyDescent="0.25">
      <c r="A5" s="97" t="s">
        <v>47</v>
      </c>
      <c r="B5" s="97"/>
      <c r="C5" s="97"/>
      <c r="D5" s="97"/>
      <c r="E5" s="97"/>
      <c r="F5" s="97"/>
      <c r="G5" s="97"/>
    </row>
    <row r="6" spans="1:19" x14ac:dyDescent="0.25">
      <c r="A6" s="4" t="s">
        <v>38</v>
      </c>
      <c r="B6" s="2">
        <v>5117907.2036249982</v>
      </c>
      <c r="C6" s="2">
        <v>679912.65914499981</v>
      </c>
      <c r="D6" s="2">
        <v>32003.656765</v>
      </c>
      <c r="E6" s="2">
        <v>-70542.195634999996</v>
      </c>
      <c r="F6" s="2">
        <v>5759281.3238999974</v>
      </c>
      <c r="G6" s="8">
        <v>5.9</v>
      </c>
    </row>
    <row r="7" spans="1:19" x14ac:dyDescent="0.25">
      <c r="A7" s="4" t="s">
        <v>39</v>
      </c>
      <c r="B7" s="2">
        <v>1756620.9350299996</v>
      </c>
      <c r="C7" s="2">
        <v>294363.52400500001</v>
      </c>
      <c r="D7" s="2">
        <v>154565.46983499997</v>
      </c>
      <c r="E7" s="2">
        <v>-36779.820000000007</v>
      </c>
      <c r="F7" s="2">
        <v>2168770.1088699996</v>
      </c>
      <c r="G7" s="8">
        <v>0.83</v>
      </c>
    </row>
    <row r="8" spans="1:19" x14ac:dyDescent="0.25">
      <c r="A8" s="4" t="s">
        <v>40</v>
      </c>
      <c r="B8" s="2">
        <v>790754.49</v>
      </c>
      <c r="C8" s="2">
        <v>196117.58</v>
      </c>
      <c r="D8" s="2">
        <v>1752.2057850000001</v>
      </c>
      <c r="E8" s="2">
        <v>-135.99999999999997</v>
      </c>
      <c r="F8" s="2">
        <v>988488.27578499995</v>
      </c>
      <c r="G8" s="8">
        <v>0.53</v>
      </c>
    </row>
    <row r="9" spans="1:19" x14ac:dyDescent="0.25">
      <c r="A9" s="4" t="s">
        <v>41</v>
      </c>
      <c r="B9" s="2">
        <v>933394.00000000035</v>
      </c>
      <c r="C9" s="2">
        <v>57740.23</v>
      </c>
      <c r="D9" s="2">
        <v>2004.29</v>
      </c>
      <c r="E9" s="2">
        <v>-9676.9100000000035</v>
      </c>
      <c r="F9" s="2">
        <v>983461.61000000034</v>
      </c>
      <c r="G9" s="8">
        <v>0.9</v>
      </c>
    </row>
    <row r="10" spans="1:19" x14ac:dyDescent="0.25">
      <c r="A10" s="4" t="s">
        <v>42</v>
      </c>
      <c r="B10" s="2">
        <v>506100.46363499993</v>
      </c>
      <c r="C10" s="2">
        <v>294642.32424500003</v>
      </c>
      <c r="D10" s="2">
        <v>674.77339999999992</v>
      </c>
      <c r="E10" s="2">
        <v>-3781.0126750000004</v>
      </c>
      <c r="F10" s="2">
        <v>797636.54860500002</v>
      </c>
      <c r="G10" s="8">
        <v>0.2</v>
      </c>
    </row>
    <row r="11" spans="1:19" x14ac:dyDescent="0.25">
      <c r="A11" s="4" t="s">
        <v>43</v>
      </c>
      <c r="B11" s="2">
        <v>1830372.75</v>
      </c>
      <c r="C11" s="2">
        <v>966322.15999999992</v>
      </c>
      <c r="D11" s="2">
        <v>21656.139999999996</v>
      </c>
      <c r="E11" s="2">
        <v>-21990.46000000001</v>
      </c>
      <c r="F11" s="2">
        <v>2796360.5899999994</v>
      </c>
      <c r="G11" s="8">
        <v>6.8</v>
      </c>
    </row>
    <row r="12" spans="1:19" x14ac:dyDescent="0.25">
      <c r="A12" s="4" t="s">
        <v>51</v>
      </c>
      <c r="B12" s="94">
        <v>315541.88000000012</v>
      </c>
      <c r="C12" s="95">
        <v>12981.84</v>
      </c>
      <c r="D12" s="95">
        <v>1789.88</v>
      </c>
      <c r="E12" s="95">
        <v>-5809.9500000000007</v>
      </c>
      <c r="F12" s="95">
        <v>324503.65000000014</v>
      </c>
      <c r="G12" s="96">
        <v>0.3</v>
      </c>
    </row>
    <row r="13" spans="1:19" x14ac:dyDescent="0.25">
      <c r="A13" s="6" t="s">
        <v>45</v>
      </c>
      <c r="B13" s="7">
        <f>SUM(B6:B12)</f>
        <v>11250691.722289998</v>
      </c>
      <c r="C13" s="7">
        <f t="shared" ref="C13:F13" si="0">SUM(C6:C12)</f>
        <v>2502080.3173949998</v>
      </c>
      <c r="D13" s="7">
        <f t="shared" si="0"/>
        <v>214446.41578499996</v>
      </c>
      <c r="E13" s="7">
        <f t="shared" si="0"/>
        <v>-148716.34831000003</v>
      </c>
      <c r="F13" s="7">
        <f t="shared" si="0"/>
        <v>13818502.107159998</v>
      </c>
      <c r="G13" s="86">
        <f>SUM(G6:G12)</f>
        <v>15.46</v>
      </c>
      <c r="I13" s="19"/>
    </row>
    <row r="14" spans="1:19" x14ac:dyDescent="0.25">
      <c r="A14" s="8"/>
      <c r="B14" s="8"/>
      <c r="C14" s="8"/>
      <c r="D14" s="8"/>
      <c r="E14" s="8"/>
      <c r="F14" s="8"/>
      <c r="G14" s="87">
        <v>15.58</v>
      </c>
      <c r="H14" s="92" t="s">
        <v>143</v>
      </c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</row>
    <row r="15" spans="1:19" ht="28.9" customHeight="1" x14ac:dyDescent="0.25">
      <c r="A15" s="97" t="s">
        <v>52</v>
      </c>
      <c r="B15" s="97"/>
      <c r="C15" s="97"/>
      <c r="D15" s="97"/>
      <c r="E15" s="97"/>
      <c r="F15" s="97"/>
      <c r="G15" s="82"/>
      <c r="H15" s="22"/>
      <c r="I15" s="85"/>
    </row>
    <row r="16" spans="1:19" hidden="1" outlineLevel="1" x14ac:dyDescent="0.25">
      <c r="A16" s="4" t="s">
        <v>1</v>
      </c>
      <c r="B16" s="2">
        <v>43687.099999999991</v>
      </c>
      <c r="C16" s="2">
        <v>9047.8100000000013</v>
      </c>
      <c r="D16" s="2">
        <v>-257.09000000000003</v>
      </c>
      <c r="E16" s="5">
        <v>-2234.6500000000005</v>
      </c>
      <c r="F16" s="3">
        <v>50243.169999999991</v>
      </c>
    </row>
    <row r="17" spans="1:6" hidden="1" outlineLevel="1" x14ac:dyDescent="0.25">
      <c r="A17" s="4" t="s">
        <v>2</v>
      </c>
      <c r="B17" s="2">
        <v>14265.599999999997</v>
      </c>
      <c r="C17" s="2">
        <v>0</v>
      </c>
      <c r="D17" s="2">
        <v>1293.0699999999997</v>
      </c>
      <c r="E17" s="5">
        <v>0</v>
      </c>
      <c r="F17" s="3">
        <v>15558.669999999996</v>
      </c>
    </row>
    <row r="18" spans="1:6" hidden="1" outlineLevel="1" x14ac:dyDescent="0.25">
      <c r="A18" s="4" t="s">
        <v>3</v>
      </c>
      <c r="B18" s="2">
        <v>1664276.26</v>
      </c>
      <c r="C18" s="2">
        <v>0</v>
      </c>
      <c r="D18" s="2">
        <v>1776.81</v>
      </c>
      <c r="E18" s="5">
        <v>-33009.089999999997</v>
      </c>
      <c r="F18" s="3">
        <v>1633043.98</v>
      </c>
    </row>
    <row r="19" spans="1:6" hidden="1" outlineLevel="1" x14ac:dyDescent="0.25">
      <c r="A19" s="4" t="s">
        <v>4</v>
      </c>
      <c r="B19" s="2">
        <v>5865.7439350000004</v>
      </c>
      <c r="C19" s="2">
        <v>0</v>
      </c>
      <c r="D19" s="2">
        <v>3389.6016400000003</v>
      </c>
      <c r="E19" s="5">
        <v>0</v>
      </c>
      <c r="F19" s="3">
        <v>9255.3455750000012</v>
      </c>
    </row>
    <row r="20" spans="1:6" hidden="1" outlineLevel="1" x14ac:dyDescent="0.25">
      <c r="A20" s="4" t="s">
        <v>5</v>
      </c>
      <c r="B20" s="2">
        <v>0</v>
      </c>
      <c r="C20" s="2">
        <v>0</v>
      </c>
      <c r="D20" s="2">
        <v>149.26526999999999</v>
      </c>
      <c r="E20" s="5">
        <v>0</v>
      </c>
      <c r="F20" s="3">
        <v>149.26526999999999</v>
      </c>
    </row>
    <row r="21" spans="1:6" hidden="1" outlineLevel="1" x14ac:dyDescent="0.25">
      <c r="A21" s="4" t="s">
        <v>6</v>
      </c>
      <c r="B21" s="2">
        <v>361156.82807499997</v>
      </c>
      <c r="C21" s="2">
        <v>579667.08336000005</v>
      </c>
      <c r="D21" s="2">
        <v>3742.4079900000002</v>
      </c>
      <c r="E21" s="5">
        <v>36.330000000000005</v>
      </c>
      <c r="F21" s="3">
        <v>944602.64942500007</v>
      </c>
    </row>
    <row r="22" spans="1:6" hidden="1" outlineLevel="1" x14ac:dyDescent="0.25">
      <c r="A22" s="4" t="s">
        <v>7</v>
      </c>
      <c r="B22" s="2">
        <v>0</v>
      </c>
      <c r="C22" s="2">
        <v>0</v>
      </c>
      <c r="D22" s="2">
        <v>786.047955</v>
      </c>
      <c r="E22" s="5">
        <v>0</v>
      </c>
      <c r="F22" s="3">
        <v>786.047955</v>
      </c>
    </row>
    <row r="23" spans="1:6" hidden="1" outlineLevel="1" x14ac:dyDescent="0.25">
      <c r="A23" s="4" t="s">
        <v>8</v>
      </c>
      <c r="B23" s="2">
        <v>1596</v>
      </c>
      <c r="C23" s="2">
        <v>0</v>
      </c>
      <c r="D23" s="2">
        <v>0</v>
      </c>
      <c r="E23" s="5">
        <v>-31.92</v>
      </c>
      <c r="F23" s="3">
        <v>1564.08</v>
      </c>
    </row>
    <row r="24" spans="1:6" hidden="1" outlineLevel="1" x14ac:dyDescent="0.25">
      <c r="A24" s="4" t="s">
        <v>9</v>
      </c>
      <c r="B24" s="2">
        <v>-4.5474735088646412E-13</v>
      </c>
      <c r="C24" s="2">
        <v>0</v>
      </c>
      <c r="D24" s="2">
        <v>0</v>
      </c>
      <c r="E24" s="5">
        <v>0</v>
      </c>
      <c r="F24" s="3">
        <v>-4.5474735088646412E-13</v>
      </c>
    </row>
    <row r="25" spans="1:6" hidden="1" outlineLevel="1" x14ac:dyDescent="0.25">
      <c r="A25" s="4" t="s">
        <v>10</v>
      </c>
      <c r="B25" s="2">
        <v>5540</v>
      </c>
      <c r="C25" s="2">
        <v>0</v>
      </c>
      <c r="D25" s="2">
        <v>92.31</v>
      </c>
      <c r="E25" s="5">
        <v>0</v>
      </c>
      <c r="F25" s="3">
        <v>5632.31</v>
      </c>
    </row>
    <row r="26" spans="1:6" ht="30" hidden="1" outlineLevel="1" x14ac:dyDescent="0.25">
      <c r="A26" s="4" t="s">
        <v>11</v>
      </c>
      <c r="B26" s="2">
        <v>9878</v>
      </c>
      <c r="C26" s="2">
        <v>0</v>
      </c>
      <c r="D26" s="2">
        <v>811.1</v>
      </c>
      <c r="E26" s="5">
        <v>-79.56</v>
      </c>
      <c r="F26" s="3">
        <v>10609.54</v>
      </c>
    </row>
    <row r="27" spans="1:6" hidden="1" outlineLevel="1" x14ac:dyDescent="0.25">
      <c r="A27" s="4" t="s">
        <v>12</v>
      </c>
      <c r="B27" s="2">
        <v>0</v>
      </c>
      <c r="C27" s="2">
        <v>0</v>
      </c>
      <c r="D27" s="2">
        <v>981.55</v>
      </c>
      <c r="E27" s="5">
        <v>0</v>
      </c>
      <c r="F27" s="3">
        <v>981.55</v>
      </c>
    </row>
    <row r="28" spans="1:6" hidden="1" outlineLevel="1" x14ac:dyDescent="0.25">
      <c r="A28" s="4" t="s">
        <v>13</v>
      </c>
      <c r="B28" s="2">
        <v>4809.38</v>
      </c>
      <c r="C28" s="2">
        <v>0</v>
      </c>
      <c r="D28" s="2">
        <v>0</v>
      </c>
      <c r="E28" s="5">
        <v>0</v>
      </c>
      <c r="F28" s="3">
        <v>4809.38</v>
      </c>
    </row>
    <row r="29" spans="1:6" hidden="1" outlineLevel="1" x14ac:dyDescent="0.25">
      <c r="A29" s="4" t="s">
        <v>14</v>
      </c>
      <c r="B29" s="2">
        <v>11520.25</v>
      </c>
      <c r="C29" s="2">
        <v>0</v>
      </c>
      <c r="D29" s="2">
        <v>0</v>
      </c>
      <c r="E29" s="5">
        <v>0</v>
      </c>
      <c r="F29" s="3">
        <v>11520.25</v>
      </c>
    </row>
    <row r="30" spans="1:6" hidden="1" outlineLevel="1" x14ac:dyDescent="0.25">
      <c r="A30" s="4" t="s">
        <v>15</v>
      </c>
      <c r="B30" s="2">
        <v>2590</v>
      </c>
      <c r="C30" s="2">
        <v>0</v>
      </c>
      <c r="D30" s="2">
        <v>0</v>
      </c>
      <c r="E30" s="5">
        <v>0</v>
      </c>
      <c r="F30" s="3">
        <v>2590</v>
      </c>
    </row>
    <row r="31" spans="1:6" hidden="1" outlineLevel="1" x14ac:dyDescent="0.25">
      <c r="A31" s="4" t="s">
        <v>16</v>
      </c>
      <c r="B31" s="2">
        <v>0</v>
      </c>
      <c r="C31" s="2">
        <v>0</v>
      </c>
      <c r="D31" s="2">
        <v>-186.36</v>
      </c>
      <c r="E31" s="5">
        <v>0</v>
      </c>
      <c r="F31" s="3">
        <v>-186.36</v>
      </c>
    </row>
    <row r="32" spans="1:6" hidden="1" outlineLevel="1" x14ac:dyDescent="0.25">
      <c r="A32" s="4" t="s">
        <v>17</v>
      </c>
      <c r="B32" s="2">
        <v>2877</v>
      </c>
      <c r="C32" s="2">
        <v>0</v>
      </c>
      <c r="D32" s="2">
        <v>117.29</v>
      </c>
      <c r="E32" s="5">
        <v>0</v>
      </c>
      <c r="F32" s="3">
        <v>2994.29</v>
      </c>
    </row>
    <row r="33" spans="1:6" hidden="1" outlineLevel="1" x14ac:dyDescent="0.25">
      <c r="A33" s="4" t="s">
        <v>18</v>
      </c>
      <c r="B33" s="2">
        <v>4225</v>
      </c>
      <c r="C33" s="2">
        <v>0</v>
      </c>
      <c r="D33" s="2">
        <v>23.46</v>
      </c>
      <c r="E33" s="5">
        <v>-84.5</v>
      </c>
      <c r="F33" s="3">
        <v>4163.96</v>
      </c>
    </row>
    <row r="34" spans="1:6" hidden="1" outlineLevel="1" x14ac:dyDescent="0.25">
      <c r="A34" s="4" t="s">
        <v>19</v>
      </c>
      <c r="B34" s="2">
        <v>0</v>
      </c>
      <c r="C34" s="2">
        <v>0</v>
      </c>
      <c r="D34" s="2">
        <v>23.46</v>
      </c>
      <c r="E34" s="5">
        <v>0</v>
      </c>
      <c r="F34" s="3">
        <v>23.46</v>
      </c>
    </row>
    <row r="35" spans="1:6" hidden="1" outlineLevel="1" x14ac:dyDescent="0.25">
      <c r="A35" s="4" t="s">
        <v>20</v>
      </c>
      <c r="B35" s="2">
        <v>6473</v>
      </c>
      <c r="C35" s="2">
        <v>0</v>
      </c>
      <c r="D35" s="2">
        <v>129.22999999999999</v>
      </c>
      <c r="E35" s="5">
        <v>-15.96</v>
      </c>
      <c r="F35" s="3">
        <v>6586.2699999999995</v>
      </c>
    </row>
    <row r="36" spans="1:6" hidden="1" outlineLevel="1" x14ac:dyDescent="0.25">
      <c r="A36" s="4" t="s">
        <v>21</v>
      </c>
      <c r="B36" s="2">
        <v>0</v>
      </c>
      <c r="C36" s="2">
        <v>0</v>
      </c>
      <c r="D36" s="2">
        <v>369.23</v>
      </c>
      <c r="E36" s="5">
        <v>0</v>
      </c>
      <c r="F36" s="3">
        <v>369.23</v>
      </c>
    </row>
    <row r="37" spans="1:6" hidden="1" outlineLevel="1" x14ac:dyDescent="0.25">
      <c r="A37" s="4" t="s">
        <v>22</v>
      </c>
      <c r="B37" s="2">
        <v>0</v>
      </c>
      <c r="C37" s="2">
        <v>0</v>
      </c>
      <c r="D37" s="2">
        <v>92.31</v>
      </c>
      <c r="E37" s="5">
        <v>0</v>
      </c>
      <c r="F37" s="3">
        <v>92.31</v>
      </c>
    </row>
    <row r="38" spans="1:6" hidden="1" outlineLevel="1" x14ac:dyDescent="0.25">
      <c r="A38" s="4" t="s">
        <v>23</v>
      </c>
      <c r="B38" s="2">
        <v>2407.8000000000002</v>
      </c>
      <c r="C38" s="2">
        <v>0</v>
      </c>
      <c r="D38" s="2">
        <v>0</v>
      </c>
      <c r="E38" s="5">
        <v>0</v>
      </c>
      <c r="F38" s="3">
        <v>2407.8000000000002</v>
      </c>
    </row>
    <row r="39" spans="1:6" hidden="1" outlineLevel="1" x14ac:dyDescent="0.25">
      <c r="A39" s="4" t="s">
        <v>24</v>
      </c>
      <c r="B39" s="2">
        <v>0</v>
      </c>
      <c r="C39" s="2">
        <v>0</v>
      </c>
      <c r="D39" s="2">
        <v>70.37</v>
      </c>
      <c r="E39" s="5">
        <v>0</v>
      </c>
      <c r="F39" s="3">
        <v>70.37</v>
      </c>
    </row>
    <row r="40" spans="1:6" hidden="1" outlineLevel="1" x14ac:dyDescent="0.25">
      <c r="A40" s="4" t="s">
        <v>25</v>
      </c>
      <c r="B40" s="2">
        <v>7358.91</v>
      </c>
      <c r="C40" s="2">
        <v>0</v>
      </c>
      <c r="D40" s="2">
        <v>105.76999999999998</v>
      </c>
      <c r="E40" s="5">
        <v>0</v>
      </c>
      <c r="F40" s="3">
        <v>7464.68</v>
      </c>
    </row>
    <row r="41" spans="1:6" hidden="1" outlineLevel="1" x14ac:dyDescent="0.25">
      <c r="A41" s="4" t="s">
        <v>26</v>
      </c>
      <c r="B41" s="2">
        <v>0</v>
      </c>
      <c r="C41" s="2">
        <v>0</v>
      </c>
      <c r="D41" s="2">
        <v>184.62</v>
      </c>
      <c r="E41" s="5">
        <v>0</v>
      </c>
      <c r="F41" s="3">
        <v>184.62</v>
      </c>
    </row>
    <row r="42" spans="1:6" collapsed="1" x14ac:dyDescent="0.25">
      <c r="A42" s="6" t="s">
        <v>45</v>
      </c>
      <c r="B42" s="16">
        <f>SUM(B16:B41)</f>
        <v>2148526.8720099996</v>
      </c>
      <c r="C42" s="16">
        <f>SUM(C16:C41)</f>
        <v>588714.8933600001</v>
      </c>
      <c r="D42" s="16">
        <f>SUM(D16:D41)</f>
        <v>13694.452854999998</v>
      </c>
      <c r="E42" s="16">
        <f>SUM(E16:E41)</f>
        <v>-35419.349999999991</v>
      </c>
      <c r="F42" s="16">
        <f>SUM(F16:F41)</f>
        <v>2715516.8682250003</v>
      </c>
    </row>
    <row r="43" spans="1:6" x14ac:dyDescent="0.25">
      <c r="A43" s="8"/>
      <c r="B43" s="8"/>
      <c r="C43" s="8"/>
      <c r="D43" s="8"/>
      <c r="E43" s="8"/>
      <c r="F43" s="8"/>
    </row>
    <row r="44" spans="1:6" ht="34.9" customHeight="1" x14ac:dyDescent="0.25">
      <c r="A44" s="97" t="s">
        <v>48</v>
      </c>
      <c r="B44" s="97"/>
      <c r="C44" s="97"/>
      <c r="D44" s="97"/>
      <c r="E44" s="97"/>
      <c r="F44" s="97"/>
    </row>
    <row r="45" spans="1:6" ht="30" hidden="1" outlineLevel="1" x14ac:dyDescent="0.25">
      <c r="A45" s="4" t="s">
        <v>27</v>
      </c>
      <c r="B45" s="2">
        <v>97.5</v>
      </c>
      <c r="C45" s="2">
        <v>0</v>
      </c>
      <c r="D45" s="2">
        <v>2632.78</v>
      </c>
      <c r="E45" s="5">
        <v>-1.95</v>
      </c>
      <c r="F45" s="3">
        <v>2728.3300000000004</v>
      </c>
    </row>
    <row r="46" spans="1:6" hidden="1" outlineLevel="1" x14ac:dyDescent="0.25">
      <c r="A46" s="4" t="s">
        <v>28</v>
      </c>
      <c r="B46" s="2">
        <v>22712</v>
      </c>
      <c r="C46" s="2">
        <v>0</v>
      </c>
      <c r="D46" s="2">
        <v>4391.0599999999995</v>
      </c>
      <c r="E46" s="5">
        <v>-100.25</v>
      </c>
      <c r="F46" s="3">
        <v>27002.809999999998</v>
      </c>
    </row>
    <row r="47" spans="1:6" hidden="1" outlineLevel="1" x14ac:dyDescent="0.25">
      <c r="A47" s="4" t="s">
        <v>29</v>
      </c>
      <c r="B47" s="2">
        <v>1654.73</v>
      </c>
      <c r="C47" s="2">
        <v>0</v>
      </c>
      <c r="D47" s="2">
        <v>499.62036999999998</v>
      </c>
      <c r="E47" s="5">
        <v>-6.04</v>
      </c>
      <c r="F47" s="3">
        <v>2148.3103700000001</v>
      </c>
    </row>
    <row r="48" spans="1:6" hidden="1" outlineLevel="1" x14ac:dyDescent="0.25">
      <c r="A48" s="4" t="s">
        <v>30</v>
      </c>
      <c r="B48" s="2">
        <v>228239.90247999996</v>
      </c>
      <c r="C48" s="2">
        <v>265.04000000000002</v>
      </c>
      <c r="D48" s="2">
        <v>6174.2398049999993</v>
      </c>
      <c r="E48" s="5">
        <v>-1401.9182349999999</v>
      </c>
      <c r="F48" s="3">
        <v>233277.26404999997</v>
      </c>
    </row>
    <row r="49" spans="1:8" hidden="1" outlineLevel="1" x14ac:dyDescent="0.25">
      <c r="A49" s="4" t="s">
        <v>31</v>
      </c>
      <c r="B49" s="2">
        <v>31566.810000000005</v>
      </c>
      <c r="C49" s="2">
        <v>0</v>
      </c>
      <c r="D49" s="2">
        <v>2403.3000000000002</v>
      </c>
      <c r="E49" s="5">
        <v>-32.03</v>
      </c>
      <c r="F49" s="3">
        <v>33938.080000000009</v>
      </c>
    </row>
    <row r="50" spans="1:8" collapsed="1" x14ac:dyDescent="0.25">
      <c r="A50" s="6" t="s">
        <v>45</v>
      </c>
      <c r="B50" s="16">
        <f>SUM(B45:B49)</f>
        <v>284270.94247999997</v>
      </c>
      <c r="C50" s="16">
        <f t="shared" ref="C50:F50" si="1">SUM(C45:C49)</f>
        <v>265.04000000000002</v>
      </c>
      <c r="D50" s="16">
        <f t="shared" si="1"/>
        <v>16101.000174999997</v>
      </c>
      <c r="E50" s="16">
        <f t="shared" si="1"/>
        <v>-1542.1882349999998</v>
      </c>
      <c r="F50" s="16">
        <f t="shared" si="1"/>
        <v>299094.79441999999</v>
      </c>
    </row>
    <row r="51" spans="1:8" x14ac:dyDescent="0.25">
      <c r="A51" s="8"/>
      <c r="B51" s="8"/>
      <c r="C51" s="8"/>
      <c r="D51" s="8"/>
      <c r="E51" s="8"/>
      <c r="F51" s="8"/>
    </row>
    <row r="52" spans="1:8" ht="30" customHeight="1" x14ac:dyDescent="0.25">
      <c r="A52" s="97" t="s">
        <v>49</v>
      </c>
      <c r="B52" s="97"/>
      <c r="C52" s="97"/>
      <c r="D52" s="97"/>
      <c r="E52" s="97"/>
      <c r="F52" s="97"/>
    </row>
    <row r="53" spans="1:8" x14ac:dyDescent="0.25">
      <c r="A53" s="6" t="s">
        <v>45</v>
      </c>
      <c r="B53" s="16">
        <v>21570145.541410014</v>
      </c>
      <c r="C53" s="16">
        <v>17706.894319999999</v>
      </c>
      <c r="D53" s="16">
        <v>331220.94979000004</v>
      </c>
      <c r="E53" s="16">
        <f>93168.349325+4380</f>
        <v>97548.349325000003</v>
      </c>
      <c r="F53" s="16">
        <f>SUM(A53:E53)</f>
        <v>22016621.734845016</v>
      </c>
      <c r="H53" s="85"/>
    </row>
    <row r="54" spans="1:8" x14ac:dyDescent="0.25">
      <c r="A54" s="8"/>
      <c r="B54" s="8"/>
      <c r="C54" s="8"/>
      <c r="D54" s="8"/>
      <c r="E54" s="8"/>
      <c r="F54" s="8"/>
    </row>
    <row r="55" spans="1:8" ht="15.75" thickBot="1" x14ac:dyDescent="0.3">
      <c r="A55" s="6" t="s">
        <v>32</v>
      </c>
      <c r="B55" s="17">
        <f>+B53+B50+B42+B13</f>
        <v>35253635.078190014</v>
      </c>
      <c r="C55" s="17">
        <f>+C53+C50+C42+C13</f>
        <v>3108767.1450749999</v>
      </c>
      <c r="D55" s="17">
        <f>+D53+D50+D42+D13</f>
        <v>575462.81860499992</v>
      </c>
      <c r="E55" s="17">
        <f>+E53+E50+E42+E13</f>
        <v>-88129.537220000013</v>
      </c>
      <c r="F55" s="17">
        <f>+F53+F50+F42+F13</f>
        <v>38849735.504650012</v>
      </c>
      <c r="H55" s="18"/>
    </row>
    <row r="56" spans="1:8" s="8" customFormat="1" ht="15.75" thickTop="1" x14ac:dyDescent="0.25"/>
    <row r="57" spans="1:8" s="8" customFormat="1" ht="17.25" x14ac:dyDescent="0.25">
      <c r="A57" s="8" t="s">
        <v>142</v>
      </c>
      <c r="B57" s="20"/>
      <c r="F57" s="80"/>
      <c r="G57" s="22"/>
    </row>
    <row r="58" spans="1:8" s="8" customFormat="1" x14ac:dyDescent="0.25">
      <c r="B58" s="20"/>
      <c r="F58" s="108"/>
      <c r="G58" s="109"/>
      <c r="H58" s="105"/>
    </row>
    <row r="59" spans="1:8" s="8" customFormat="1" x14ac:dyDescent="0.25">
      <c r="B59" s="20"/>
    </row>
    <row r="60" spans="1:8" s="8" customFormat="1" x14ac:dyDescent="0.25">
      <c r="B60" s="20"/>
    </row>
    <row r="61" spans="1:8" s="8" customFormat="1" x14ac:dyDescent="0.25">
      <c r="B61" s="20"/>
    </row>
    <row r="62" spans="1:8" s="8" customFormat="1" x14ac:dyDescent="0.25">
      <c r="B62" s="20"/>
    </row>
    <row r="63" spans="1:8" s="8" customFormat="1" x14ac:dyDescent="0.25">
      <c r="B63" s="20"/>
    </row>
    <row r="64" spans="1:8" s="8" customFormat="1" x14ac:dyDescent="0.25">
      <c r="B64" s="20"/>
    </row>
    <row r="65" spans="2:2" s="8" customFormat="1" x14ac:dyDescent="0.25">
      <c r="B65" s="20"/>
    </row>
    <row r="66" spans="2:2" s="8" customFormat="1" x14ac:dyDescent="0.25">
      <c r="B66" s="20"/>
    </row>
    <row r="67" spans="2:2" s="8" customFormat="1" x14ac:dyDescent="0.25">
      <c r="B67" s="20"/>
    </row>
    <row r="68" spans="2:2" s="8" customFormat="1" x14ac:dyDescent="0.25">
      <c r="B68" s="20"/>
    </row>
    <row r="69" spans="2:2" s="8" customFormat="1" x14ac:dyDescent="0.25">
      <c r="B69" s="20"/>
    </row>
    <row r="70" spans="2:2" s="8" customFormat="1" x14ac:dyDescent="0.25">
      <c r="B70" s="20"/>
    </row>
    <row r="71" spans="2:2" s="8" customFormat="1" x14ac:dyDescent="0.25">
      <c r="B71" s="20"/>
    </row>
    <row r="72" spans="2:2" s="8" customFormat="1" x14ac:dyDescent="0.25">
      <c r="B72" s="20"/>
    </row>
    <row r="73" spans="2:2" s="8" customFormat="1" x14ac:dyDescent="0.25">
      <c r="B73" s="20"/>
    </row>
    <row r="74" spans="2:2" s="8" customFormat="1" x14ac:dyDescent="0.25">
      <c r="B74" s="20"/>
    </row>
    <row r="75" spans="2:2" s="8" customFormat="1" x14ac:dyDescent="0.25">
      <c r="B75" s="20"/>
    </row>
    <row r="76" spans="2:2" s="8" customFormat="1" x14ac:dyDescent="0.25">
      <c r="B76" s="20"/>
    </row>
    <row r="77" spans="2:2" s="8" customFormat="1" x14ac:dyDescent="0.25">
      <c r="B77" s="20"/>
    </row>
    <row r="78" spans="2:2" s="8" customFormat="1" x14ac:dyDescent="0.25">
      <c r="B78" s="20"/>
    </row>
    <row r="79" spans="2:2" s="8" customFormat="1" x14ac:dyDescent="0.25">
      <c r="B79" s="20"/>
    </row>
    <row r="80" spans="2:2" s="8" customFormat="1" x14ac:dyDescent="0.25">
      <c r="B80" s="20"/>
    </row>
    <row r="81" spans="2:2" s="8" customFormat="1" x14ac:dyDescent="0.25">
      <c r="B81" s="20"/>
    </row>
    <row r="82" spans="2:2" s="8" customFormat="1" x14ac:dyDescent="0.25">
      <c r="B82" s="20"/>
    </row>
    <row r="83" spans="2:2" s="8" customFormat="1" x14ac:dyDescent="0.25">
      <c r="B83" s="20"/>
    </row>
    <row r="84" spans="2:2" s="8" customFormat="1" x14ac:dyDescent="0.25">
      <c r="B84" s="20"/>
    </row>
    <row r="85" spans="2:2" s="8" customFormat="1" x14ac:dyDescent="0.25">
      <c r="B85" s="20"/>
    </row>
    <row r="86" spans="2:2" s="8" customFormat="1" x14ac:dyDescent="0.25">
      <c r="B86" s="20"/>
    </row>
    <row r="87" spans="2:2" s="8" customFormat="1" x14ac:dyDescent="0.25">
      <c r="B87" s="20"/>
    </row>
    <row r="88" spans="2:2" s="8" customFormat="1" x14ac:dyDescent="0.25">
      <c r="B88" s="20"/>
    </row>
  </sheetData>
  <mergeCells count="6">
    <mergeCell ref="A52:F52"/>
    <mergeCell ref="A5:G5"/>
    <mergeCell ref="A1:F2"/>
    <mergeCell ref="B3:D3"/>
    <mergeCell ref="A15:F15"/>
    <mergeCell ref="A44:F4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0D362-D506-4A8E-A98D-210A2456626C}">
  <dimension ref="A1:O68"/>
  <sheetViews>
    <sheetView zoomScale="85" zoomScaleNormal="85" workbookViewId="0">
      <pane xSplit="6" ySplit="2" topLeftCell="G35" activePane="bottomRight" state="frozen"/>
      <selection activeCell="B52" sqref="B52"/>
      <selection pane="topRight" activeCell="B52" sqref="B52"/>
      <selection pane="bottomLeft" activeCell="B52" sqref="B52"/>
      <selection pane="bottomRight" activeCell="C56" sqref="C56"/>
    </sheetView>
  </sheetViews>
  <sheetFormatPr defaultRowHeight="15" outlineLevelRow="1" x14ac:dyDescent="0.25"/>
  <cols>
    <col min="1" max="1" width="31.28515625" customWidth="1"/>
    <col min="2" max="2" width="19.5703125" customWidth="1"/>
    <col min="3" max="3" width="18.5703125" customWidth="1"/>
    <col min="4" max="4" width="14.7109375" customWidth="1"/>
    <col min="5" max="5" width="18.28515625" customWidth="1"/>
    <col min="6" max="6" width="20.5703125" customWidth="1"/>
    <col min="7" max="8" width="15.28515625" bestFit="1" customWidth="1"/>
    <col min="9" max="9" width="8.28515625" customWidth="1"/>
    <col min="10" max="10" width="15.28515625" bestFit="1" customWidth="1"/>
    <col min="11" max="11" width="16.28515625" bestFit="1" customWidth="1"/>
    <col min="12" max="12" width="4.28515625" customWidth="1"/>
    <col min="13" max="13" width="14.28515625" bestFit="1" customWidth="1"/>
    <col min="15" max="15" width="45.28515625" bestFit="1" customWidth="1"/>
  </cols>
  <sheetData>
    <row r="1" spans="1:15" ht="18.75" x14ac:dyDescent="0.3">
      <c r="A1" s="23" t="s">
        <v>55</v>
      </c>
    </row>
    <row r="2" spans="1:15" ht="77.25" hidden="1" outlineLevel="1" thickBot="1" x14ac:dyDescent="0.3">
      <c r="A2" s="24" t="s">
        <v>56</v>
      </c>
      <c r="B2" s="24" t="s">
        <v>57</v>
      </c>
      <c r="C2" s="25" t="s">
        <v>58</v>
      </c>
      <c r="D2" s="24" t="s">
        <v>59</v>
      </c>
      <c r="E2" s="24" t="s">
        <v>60</v>
      </c>
      <c r="F2" s="26" t="s">
        <v>61</v>
      </c>
      <c r="G2" t="s">
        <v>63</v>
      </c>
      <c r="H2" t="s">
        <v>64</v>
      </c>
      <c r="I2" t="s">
        <v>65</v>
      </c>
      <c r="J2" t="s">
        <v>44</v>
      </c>
      <c r="K2" t="s">
        <v>66</v>
      </c>
      <c r="M2" t="s">
        <v>67</v>
      </c>
      <c r="O2" t="s">
        <v>68</v>
      </c>
    </row>
    <row r="3" spans="1:15" hidden="1" outlineLevel="1" x14ac:dyDescent="0.25">
      <c r="A3" s="27">
        <v>2021</v>
      </c>
      <c r="B3" s="28" t="s">
        <v>69</v>
      </c>
      <c r="C3" s="28" t="s">
        <v>70</v>
      </c>
      <c r="D3" s="28" t="s">
        <v>71</v>
      </c>
      <c r="E3" s="29">
        <v>5.9969999999999999</v>
      </c>
      <c r="F3" s="30"/>
      <c r="G3" s="31">
        <f>E3*$B$41</f>
        <v>8095950</v>
      </c>
      <c r="H3" s="31">
        <f>E3*$B$42</f>
        <v>4047975</v>
      </c>
      <c r="I3" s="31">
        <f>E3*$B$43</f>
        <v>1349325</v>
      </c>
      <c r="J3" s="31">
        <f>SUM(G3:I3)</f>
        <v>13493250</v>
      </c>
      <c r="K3" s="32">
        <f>J3-4300000</f>
        <v>9193250</v>
      </c>
      <c r="M3" s="31">
        <f>K3/E3</f>
        <v>1532974.8207437051</v>
      </c>
      <c r="O3" t="s">
        <v>72</v>
      </c>
    </row>
    <row r="4" spans="1:15" hidden="1" outlineLevel="1" x14ac:dyDescent="0.25">
      <c r="A4" s="33">
        <v>2021</v>
      </c>
      <c r="B4" s="34" t="s">
        <v>69</v>
      </c>
      <c r="C4" s="34" t="s">
        <v>73</v>
      </c>
      <c r="D4" s="34" t="s">
        <v>71</v>
      </c>
      <c r="E4" s="35">
        <v>4.45</v>
      </c>
      <c r="F4" s="30"/>
      <c r="G4" s="31">
        <f>E4*$B$41</f>
        <v>6007500</v>
      </c>
      <c r="H4" s="31">
        <f>E4*$B$42</f>
        <v>3003750</v>
      </c>
      <c r="I4" s="31">
        <f>E4*$B$43</f>
        <v>1001250</v>
      </c>
      <c r="J4" s="31">
        <f t="shared" ref="J4:J17" si="0">SUM(G4:I4)</f>
        <v>10012500</v>
      </c>
      <c r="K4" s="31">
        <f>J4</f>
        <v>10012500</v>
      </c>
      <c r="M4" s="31">
        <f>K4/E4</f>
        <v>2250000</v>
      </c>
      <c r="O4" t="s">
        <v>74</v>
      </c>
    </row>
    <row r="5" spans="1:15" hidden="1" outlineLevel="1" x14ac:dyDescent="0.25">
      <c r="A5" s="27">
        <v>2021</v>
      </c>
      <c r="B5" s="28" t="s">
        <v>69</v>
      </c>
      <c r="C5" s="28" t="s">
        <v>75</v>
      </c>
      <c r="D5" s="28" t="s">
        <v>76</v>
      </c>
      <c r="E5" s="36">
        <v>3.8759999999999999</v>
      </c>
      <c r="F5" s="30"/>
      <c r="G5" s="31">
        <f>E5*$B$41</f>
        <v>5232600</v>
      </c>
      <c r="H5" s="31">
        <f>E5*$B$42</f>
        <v>2616300</v>
      </c>
      <c r="I5" s="31">
        <f>E5*$B$43</f>
        <v>872100</v>
      </c>
      <c r="J5" s="31">
        <f t="shared" si="0"/>
        <v>8721000</v>
      </c>
      <c r="K5" s="31">
        <f>J5</f>
        <v>8721000</v>
      </c>
      <c r="M5" s="31">
        <f>K5/E5</f>
        <v>2250000</v>
      </c>
    </row>
    <row r="6" spans="1:15" hidden="1" outlineLevel="1" x14ac:dyDescent="0.25">
      <c r="A6" s="33">
        <v>2021</v>
      </c>
      <c r="B6" s="34" t="s">
        <v>77</v>
      </c>
      <c r="C6" s="34" t="s">
        <v>78</v>
      </c>
      <c r="D6" s="34" t="s">
        <v>71</v>
      </c>
      <c r="E6" s="35">
        <v>2.2999999999999998</v>
      </c>
      <c r="F6" s="30"/>
      <c r="G6" s="31">
        <f>E6*$B$41</f>
        <v>3104999.9999999995</v>
      </c>
      <c r="H6" s="31">
        <f>E6*$B$42</f>
        <v>1552499.9999999998</v>
      </c>
      <c r="I6" s="31">
        <f>E6*$B$43</f>
        <v>517499.99999999994</v>
      </c>
      <c r="J6" s="31">
        <f t="shared" si="0"/>
        <v>5174999.9999999991</v>
      </c>
      <c r="K6" s="32">
        <f>J6-1700000</f>
        <v>3474999.9999999991</v>
      </c>
      <c r="M6" s="31">
        <f>K6/E6</f>
        <v>1510869.5652173911</v>
      </c>
      <c r="O6" t="s">
        <v>79</v>
      </c>
    </row>
    <row r="7" spans="1:15" hidden="1" outlineLevel="1" x14ac:dyDescent="0.25">
      <c r="A7" s="27">
        <v>2021</v>
      </c>
      <c r="B7" s="28" t="s">
        <v>80</v>
      </c>
      <c r="C7" s="28" t="s">
        <v>81</v>
      </c>
      <c r="D7" s="28" t="s">
        <v>82</v>
      </c>
      <c r="E7" s="36">
        <v>0.41</v>
      </c>
      <c r="F7" s="30"/>
      <c r="G7" s="31">
        <f>E7*$B$41</f>
        <v>553500</v>
      </c>
      <c r="H7" s="31">
        <f>E7*$B$42</f>
        <v>276750</v>
      </c>
      <c r="I7" s="31">
        <f>E7*$B$43</f>
        <v>92250</v>
      </c>
      <c r="J7" s="31">
        <f t="shared" si="0"/>
        <v>922500</v>
      </c>
      <c r="K7" s="31">
        <f t="shared" ref="K7:K17" si="1">J7</f>
        <v>922500</v>
      </c>
      <c r="M7" s="31">
        <f>K7/E7</f>
        <v>2250000</v>
      </c>
    </row>
    <row r="8" spans="1:15" hidden="1" outlineLevel="1" x14ac:dyDescent="0.25">
      <c r="A8" s="33">
        <v>2021</v>
      </c>
      <c r="B8" s="34" t="s">
        <v>80</v>
      </c>
      <c r="C8" s="34" t="s">
        <v>83</v>
      </c>
      <c r="D8" s="34" t="s">
        <v>82</v>
      </c>
      <c r="E8" s="35">
        <v>1.6739999999999999</v>
      </c>
      <c r="F8" s="30"/>
      <c r="G8" s="31">
        <f>E8*$B$41</f>
        <v>2259900</v>
      </c>
      <c r="H8" s="31">
        <f>E8*$B$42</f>
        <v>1129950</v>
      </c>
      <c r="I8" s="31">
        <f>E8*$B$43</f>
        <v>376650</v>
      </c>
      <c r="J8" s="31">
        <f t="shared" si="0"/>
        <v>3766500</v>
      </c>
      <c r="K8" s="31">
        <f t="shared" si="1"/>
        <v>3766500</v>
      </c>
      <c r="M8" s="31">
        <f>K8/E8</f>
        <v>2250000</v>
      </c>
    </row>
    <row r="9" spans="1:15" hidden="1" outlineLevel="1" x14ac:dyDescent="0.25">
      <c r="A9" s="27">
        <v>2021</v>
      </c>
      <c r="B9" s="28" t="s">
        <v>80</v>
      </c>
      <c r="C9" s="28" t="s">
        <v>84</v>
      </c>
      <c r="D9" s="28" t="s">
        <v>82</v>
      </c>
      <c r="E9" s="36">
        <v>1.895</v>
      </c>
      <c r="F9" s="30"/>
      <c r="G9" s="31">
        <f>E9*$B$41</f>
        <v>2558250</v>
      </c>
      <c r="H9" s="31">
        <f>E9*$B$42</f>
        <v>1279125</v>
      </c>
      <c r="I9" s="31">
        <f>E9*$B$43</f>
        <v>426375</v>
      </c>
      <c r="J9" s="31">
        <f t="shared" si="0"/>
        <v>4263750</v>
      </c>
      <c r="K9" s="31">
        <f t="shared" si="1"/>
        <v>4263750</v>
      </c>
      <c r="M9" s="31">
        <f>K9/E9</f>
        <v>2250000</v>
      </c>
    </row>
    <row r="10" spans="1:15" hidden="1" outlineLevel="1" x14ac:dyDescent="0.25">
      <c r="A10" s="33">
        <v>2021</v>
      </c>
      <c r="B10" s="34" t="s">
        <v>85</v>
      </c>
      <c r="C10" s="34" t="s">
        <v>86</v>
      </c>
      <c r="D10" s="34" t="s">
        <v>82</v>
      </c>
      <c r="E10" s="35">
        <v>0.1</v>
      </c>
      <c r="F10" s="30"/>
      <c r="G10" s="31">
        <f>E10*$B$41</f>
        <v>135000</v>
      </c>
      <c r="H10" s="31">
        <f>E10*$B$42</f>
        <v>67500</v>
      </c>
      <c r="I10" s="31">
        <f>E10*$B$43</f>
        <v>22500</v>
      </c>
      <c r="J10" s="31">
        <f t="shared" si="0"/>
        <v>225000</v>
      </c>
      <c r="K10" s="31">
        <f t="shared" si="1"/>
        <v>225000</v>
      </c>
      <c r="M10" s="31">
        <f>K10/E10</f>
        <v>2250000</v>
      </c>
    </row>
    <row r="11" spans="1:15" hidden="1" outlineLevel="1" x14ac:dyDescent="0.25">
      <c r="A11" s="27">
        <v>2021</v>
      </c>
      <c r="B11" s="28" t="s">
        <v>87</v>
      </c>
      <c r="C11" s="28" t="s">
        <v>88</v>
      </c>
      <c r="D11" s="28" t="s">
        <v>82</v>
      </c>
      <c r="E11" s="36">
        <v>3.2168000000000001</v>
      </c>
      <c r="F11" s="30"/>
      <c r="G11" s="31">
        <f>E11*$B$41</f>
        <v>4342680</v>
      </c>
      <c r="H11" s="31">
        <f>E11*$B$42</f>
        <v>2171340</v>
      </c>
      <c r="I11" s="31">
        <f>E11*$B$43</f>
        <v>723780</v>
      </c>
      <c r="J11" s="31">
        <f t="shared" si="0"/>
        <v>7237800</v>
      </c>
      <c r="K11" s="31">
        <f t="shared" si="1"/>
        <v>7237800</v>
      </c>
      <c r="M11" s="31">
        <f>K11/E11</f>
        <v>2250000</v>
      </c>
    </row>
    <row r="12" spans="1:15" hidden="1" outlineLevel="1" x14ac:dyDescent="0.25">
      <c r="A12" s="33">
        <v>2021</v>
      </c>
      <c r="B12" s="34" t="s">
        <v>89</v>
      </c>
      <c r="C12" s="34" t="s">
        <v>88</v>
      </c>
      <c r="D12" s="34" t="s">
        <v>82</v>
      </c>
      <c r="E12" s="35">
        <v>1.23</v>
      </c>
      <c r="F12" s="30"/>
      <c r="G12" s="31">
        <f>E12*$B$41</f>
        <v>1660500</v>
      </c>
      <c r="H12" s="31">
        <f>E12*$B$42</f>
        <v>830250</v>
      </c>
      <c r="I12" s="31">
        <f>E12*$B$43</f>
        <v>276750</v>
      </c>
      <c r="J12" s="31">
        <f t="shared" si="0"/>
        <v>2767500</v>
      </c>
      <c r="K12" s="31">
        <f t="shared" si="1"/>
        <v>2767500</v>
      </c>
      <c r="M12" s="31">
        <f>K12/E12</f>
        <v>2250000</v>
      </c>
    </row>
    <row r="13" spans="1:15" hidden="1" outlineLevel="1" x14ac:dyDescent="0.25">
      <c r="A13" s="27">
        <v>2021</v>
      </c>
      <c r="B13" s="28" t="s">
        <v>90</v>
      </c>
      <c r="C13" s="28" t="s">
        <v>91</v>
      </c>
      <c r="D13" s="28" t="s">
        <v>92</v>
      </c>
      <c r="E13" s="36">
        <v>3.093</v>
      </c>
      <c r="F13" s="30"/>
      <c r="G13" s="31">
        <f>E13*$B$41</f>
        <v>4175550</v>
      </c>
      <c r="H13" s="31">
        <f>E13*$B$42</f>
        <v>2087775</v>
      </c>
      <c r="I13" s="31">
        <f>E13*$B$43</f>
        <v>695925</v>
      </c>
      <c r="J13" s="31">
        <f t="shared" si="0"/>
        <v>6959250</v>
      </c>
      <c r="K13" s="31">
        <f t="shared" si="1"/>
        <v>6959250</v>
      </c>
      <c r="M13" s="31">
        <f>K13/E13</f>
        <v>2250000</v>
      </c>
    </row>
    <row r="14" spans="1:15" hidden="1" outlineLevel="1" x14ac:dyDescent="0.25">
      <c r="A14" s="33">
        <v>2021</v>
      </c>
      <c r="B14" s="34" t="s">
        <v>93</v>
      </c>
      <c r="C14" s="34" t="s">
        <v>94</v>
      </c>
      <c r="D14" s="34" t="s">
        <v>82</v>
      </c>
      <c r="E14" s="35">
        <v>3.11</v>
      </c>
      <c r="F14" s="100" t="s">
        <v>95</v>
      </c>
      <c r="G14" s="31">
        <f>E14*$B$41</f>
        <v>4198500</v>
      </c>
      <c r="H14" s="31">
        <f>E14*$B$42</f>
        <v>2099250</v>
      </c>
      <c r="I14" s="31">
        <f>E14*$B$43</f>
        <v>699750</v>
      </c>
      <c r="J14" s="31">
        <f t="shared" si="0"/>
        <v>6997500</v>
      </c>
      <c r="K14" s="31">
        <f t="shared" si="1"/>
        <v>6997500</v>
      </c>
      <c r="M14" s="31">
        <f>K14/E14</f>
        <v>2250000</v>
      </c>
    </row>
    <row r="15" spans="1:15" hidden="1" outlineLevel="1" x14ac:dyDescent="0.25">
      <c r="A15" s="27">
        <v>2021</v>
      </c>
      <c r="B15" s="28" t="s">
        <v>96</v>
      </c>
      <c r="C15" s="28" t="s">
        <v>97</v>
      </c>
      <c r="D15" s="28" t="s">
        <v>82</v>
      </c>
      <c r="E15" s="36">
        <v>0.1</v>
      </c>
      <c r="F15" s="100"/>
      <c r="G15" s="31">
        <f>E15*$B$41</f>
        <v>135000</v>
      </c>
      <c r="H15" s="31">
        <f>E15*$B$42</f>
        <v>67500</v>
      </c>
      <c r="I15" s="31">
        <f>E15*$B$43</f>
        <v>22500</v>
      </c>
      <c r="J15" s="31">
        <f t="shared" si="0"/>
        <v>225000</v>
      </c>
      <c r="K15" s="31">
        <f t="shared" si="1"/>
        <v>225000</v>
      </c>
      <c r="M15" s="31">
        <f>K15/E15</f>
        <v>2250000</v>
      </c>
    </row>
    <row r="16" spans="1:15" hidden="1" outlineLevel="1" x14ac:dyDescent="0.25">
      <c r="A16" s="33">
        <v>2021</v>
      </c>
      <c r="B16" s="34" t="s">
        <v>77</v>
      </c>
      <c r="C16" s="34" t="s">
        <v>98</v>
      </c>
      <c r="D16" s="34" t="s">
        <v>82</v>
      </c>
      <c r="E16" s="35">
        <v>0.24</v>
      </c>
      <c r="F16" s="100"/>
      <c r="G16" s="31">
        <f>E16*$B$41</f>
        <v>324000</v>
      </c>
      <c r="H16" s="31">
        <f>E16*$B$42</f>
        <v>162000</v>
      </c>
      <c r="I16" s="31">
        <f>E16*$B$43</f>
        <v>54000</v>
      </c>
      <c r="J16" s="31">
        <f t="shared" si="0"/>
        <v>540000</v>
      </c>
      <c r="K16" s="31">
        <f t="shared" si="1"/>
        <v>540000</v>
      </c>
      <c r="M16" s="31">
        <f>K16/E16</f>
        <v>2250000</v>
      </c>
    </row>
    <row r="17" spans="1:13" hidden="1" outlineLevel="1" x14ac:dyDescent="0.25">
      <c r="A17" s="27">
        <v>2021</v>
      </c>
      <c r="B17" s="28" t="s">
        <v>89</v>
      </c>
      <c r="C17" s="28" t="s">
        <v>99</v>
      </c>
      <c r="D17" s="28" t="s">
        <v>82</v>
      </c>
      <c r="E17" s="36">
        <v>0.82</v>
      </c>
      <c r="F17" s="100"/>
      <c r="G17" s="31">
        <f>E17*$B$41</f>
        <v>1107000</v>
      </c>
      <c r="H17" s="31">
        <f>E17*$B$42</f>
        <v>553500</v>
      </c>
      <c r="I17" s="31">
        <f>E17*$B$43</f>
        <v>184500</v>
      </c>
      <c r="J17" s="31">
        <f t="shared" si="0"/>
        <v>1845000</v>
      </c>
      <c r="K17" s="31">
        <f t="shared" si="1"/>
        <v>1845000</v>
      </c>
      <c r="M17" s="31">
        <f>K17/E17</f>
        <v>2250000</v>
      </c>
    </row>
    <row r="18" spans="1:13" ht="15.75" hidden="1" outlineLevel="1" thickBot="1" x14ac:dyDescent="0.3">
      <c r="A18" s="30"/>
      <c r="B18" s="30"/>
      <c r="C18" s="37"/>
      <c r="D18" s="30"/>
      <c r="E18" s="38">
        <f>SUM(E3:E13)</f>
        <v>28.241799999999998</v>
      </c>
      <c r="F18" s="30"/>
      <c r="G18" s="39">
        <f>SUM(G3:G17)</f>
        <v>43890930</v>
      </c>
      <c r="H18" s="39">
        <f>SUM(H3:H17)</f>
        <v>21945465</v>
      </c>
      <c r="I18" s="39">
        <f>SUM(I3:I17)</f>
        <v>7315155</v>
      </c>
      <c r="J18" s="39">
        <f>SUM(J3:J17)</f>
        <v>73151550</v>
      </c>
      <c r="K18" s="39">
        <f>J18-6000000</f>
        <v>67151550</v>
      </c>
      <c r="M18" s="39">
        <f>K18/E18</f>
        <v>2377736.1924523227</v>
      </c>
    </row>
    <row r="19" spans="1:13" hidden="1" outlineLevel="1" x14ac:dyDescent="0.25">
      <c r="A19" s="40" t="s">
        <v>62</v>
      </c>
      <c r="B19" s="30"/>
      <c r="C19" s="37"/>
      <c r="D19" s="30"/>
      <c r="E19" s="41"/>
      <c r="F19" s="30"/>
    </row>
    <row r="20" spans="1:13" hidden="1" outlineLevel="1" x14ac:dyDescent="0.25">
      <c r="A20" s="33" t="s">
        <v>100</v>
      </c>
      <c r="B20" s="34" t="s">
        <v>88</v>
      </c>
      <c r="C20" s="34"/>
      <c r="D20" s="34"/>
      <c r="E20" s="34">
        <v>4</v>
      </c>
      <c r="F20" s="30"/>
      <c r="J20" s="31" t="e">
        <f>+#REF!</f>
        <v>#REF!</v>
      </c>
      <c r="K20" s="31" t="e">
        <f>+J20</f>
        <v>#REF!</v>
      </c>
      <c r="M20" s="31" t="e">
        <f>K20/E20</f>
        <v>#REF!</v>
      </c>
    </row>
    <row r="21" spans="1:13" hidden="1" outlineLevel="1" x14ac:dyDescent="0.25">
      <c r="A21" s="27" t="s">
        <v>101</v>
      </c>
      <c r="B21" s="28" t="s">
        <v>102</v>
      </c>
      <c r="C21" s="28"/>
      <c r="D21" s="28"/>
      <c r="E21" s="28">
        <v>2.9</v>
      </c>
      <c r="F21" s="30"/>
      <c r="J21" s="31" t="e">
        <f>+#REF!</f>
        <v>#REF!</v>
      </c>
      <c r="K21" s="31" t="e">
        <f t="shared" ref="K21:K28" si="2">+J21</f>
        <v>#REF!</v>
      </c>
      <c r="M21" s="31" t="e">
        <f>K21/E21</f>
        <v>#REF!</v>
      </c>
    </row>
    <row r="22" spans="1:13" hidden="1" outlineLevel="1" x14ac:dyDescent="0.25">
      <c r="A22" s="33" t="s">
        <v>103</v>
      </c>
      <c r="B22" s="34" t="s">
        <v>104</v>
      </c>
      <c r="C22" s="34"/>
      <c r="D22" s="34"/>
      <c r="E22" s="34">
        <v>3.5</v>
      </c>
      <c r="F22" s="30"/>
      <c r="J22" s="31" t="e">
        <f>+#REF!</f>
        <v>#REF!</v>
      </c>
      <c r="K22" s="31" t="e">
        <f t="shared" si="2"/>
        <v>#REF!</v>
      </c>
      <c r="M22" s="31" t="e">
        <f>K22/E22</f>
        <v>#REF!</v>
      </c>
    </row>
    <row r="23" spans="1:13" hidden="1" outlineLevel="1" x14ac:dyDescent="0.25">
      <c r="A23" s="27" t="s">
        <v>105</v>
      </c>
      <c r="B23" s="28" t="s">
        <v>104</v>
      </c>
      <c r="C23" s="28"/>
      <c r="D23" s="28"/>
      <c r="E23" s="28">
        <v>2.2000000000000002</v>
      </c>
      <c r="F23" s="30"/>
      <c r="J23" s="31" t="e">
        <f>+#REF!</f>
        <v>#REF!</v>
      </c>
      <c r="K23" s="31" t="e">
        <f t="shared" si="2"/>
        <v>#REF!</v>
      </c>
      <c r="M23" s="31" t="e">
        <f>K23/E23</f>
        <v>#REF!</v>
      </c>
    </row>
    <row r="24" spans="1:13" hidden="1" outlineLevel="1" x14ac:dyDescent="0.25">
      <c r="A24" s="33" t="s">
        <v>106</v>
      </c>
      <c r="B24" s="34" t="s">
        <v>107</v>
      </c>
      <c r="C24" s="34"/>
      <c r="D24" s="34"/>
      <c r="E24" s="34">
        <v>2.5</v>
      </c>
      <c r="F24" s="30"/>
      <c r="J24" s="31" t="e">
        <f>+#REF!</f>
        <v>#REF!</v>
      </c>
      <c r="K24" s="31" t="e">
        <f t="shared" si="2"/>
        <v>#REF!</v>
      </c>
      <c r="M24" s="31" t="e">
        <f>K24/E24</f>
        <v>#REF!</v>
      </c>
    </row>
    <row r="25" spans="1:13" hidden="1" outlineLevel="1" x14ac:dyDescent="0.25">
      <c r="A25" s="27" t="s">
        <v>108</v>
      </c>
      <c r="B25" s="28" t="s">
        <v>107</v>
      </c>
      <c r="C25" s="28"/>
      <c r="D25" s="28"/>
      <c r="E25" s="28">
        <v>4.9000000000000004</v>
      </c>
      <c r="F25" s="30"/>
      <c r="J25" s="31" t="e">
        <f>+#REF!</f>
        <v>#REF!</v>
      </c>
      <c r="K25" s="31" t="e">
        <f t="shared" si="2"/>
        <v>#REF!</v>
      </c>
      <c r="M25" s="31" t="e">
        <f>K25/E25</f>
        <v>#REF!</v>
      </c>
    </row>
    <row r="26" spans="1:13" hidden="1" outlineLevel="1" x14ac:dyDescent="0.25">
      <c r="A26" s="33" t="s">
        <v>109</v>
      </c>
      <c r="B26" s="34" t="s">
        <v>107</v>
      </c>
      <c r="C26" s="34"/>
      <c r="D26" s="34"/>
      <c r="E26" s="34">
        <v>3.1</v>
      </c>
      <c r="F26" s="30"/>
      <c r="J26" s="31" t="e">
        <f>+#REF!</f>
        <v>#REF!</v>
      </c>
      <c r="K26" s="31" t="e">
        <f t="shared" si="2"/>
        <v>#REF!</v>
      </c>
      <c r="M26" s="31" t="e">
        <f>K26/E26</f>
        <v>#REF!</v>
      </c>
    </row>
    <row r="27" spans="1:13" hidden="1" outlineLevel="1" x14ac:dyDescent="0.25">
      <c r="A27" s="27" t="s">
        <v>90</v>
      </c>
      <c r="B27" s="28" t="s">
        <v>110</v>
      </c>
      <c r="C27" s="28"/>
      <c r="D27" s="28"/>
      <c r="E27" s="28">
        <v>8.08</v>
      </c>
      <c r="F27" s="30"/>
      <c r="J27" s="31" t="e">
        <f>+#REF!</f>
        <v>#REF!</v>
      </c>
      <c r="K27" s="31" t="e">
        <f t="shared" si="2"/>
        <v>#REF!</v>
      </c>
      <c r="M27" s="31" t="e">
        <f>K27/E27</f>
        <v>#REF!</v>
      </c>
    </row>
    <row r="28" spans="1:13" hidden="1" outlineLevel="1" x14ac:dyDescent="0.25">
      <c r="A28" s="33" t="s">
        <v>111</v>
      </c>
      <c r="B28" s="34" t="s">
        <v>88</v>
      </c>
      <c r="C28" s="34"/>
      <c r="D28" s="34"/>
      <c r="E28" s="34">
        <v>3.6</v>
      </c>
      <c r="F28" s="30"/>
      <c r="J28" s="31" t="e">
        <f>+#REF!</f>
        <v>#REF!</v>
      </c>
      <c r="K28" s="31" t="e">
        <f t="shared" si="2"/>
        <v>#REF!</v>
      </c>
      <c r="M28" s="31" t="e">
        <f>K28/E28</f>
        <v>#REF!</v>
      </c>
    </row>
    <row r="29" spans="1:13" ht="15.75" hidden="1" outlineLevel="1" thickBot="1" x14ac:dyDescent="0.3">
      <c r="A29" s="30"/>
      <c r="B29" s="30"/>
      <c r="C29" s="37"/>
      <c r="D29" s="30"/>
      <c r="E29" s="38">
        <f>SUM(E20:E28)</f>
        <v>34.78</v>
      </c>
      <c r="F29" s="30"/>
      <c r="J29" s="39" t="e">
        <f>SUM(J20:J28)</f>
        <v>#REF!</v>
      </c>
      <c r="K29" s="39" t="e">
        <f>SUM(K20:K28)</f>
        <v>#REF!</v>
      </c>
      <c r="M29" s="39" t="e">
        <f>K29/E29</f>
        <v>#REF!</v>
      </c>
    </row>
    <row r="30" spans="1:13" hidden="1" outlineLevel="1" x14ac:dyDescent="0.25">
      <c r="A30" s="30"/>
      <c r="B30" s="30"/>
      <c r="C30" s="37"/>
      <c r="D30" s="30"/>
      <c r="E30" s="42"/>
      <c r="F30" s="30"/>
      <c r="K30" s="31"/>
    </row>
    <row r="31" spans="1:13" hidden="1" outlineLevel="1" x14ac:dyDescent="0.25">
      <c r="A31" s="30"/>
      <c r="B31" s="30"/>
      <c r="C31" s="37"/>
      <c r="D31" s="30"/>
      <c r="E31" s="42"/>
      <c r="F31" s="30"/>
      <c r="I31" t="s">
        <v>44</v>
      </c>
      <c r="K31" s="31" t="e">
        <f>K29+K18</f>
        <v>#REF!</v>
      </c>
      <c r="M31" s="31" t="e">
        <f>+M29+M18</f>
        <v>#REF!</v>
      </c>
    </row>
    <row r="32" spans="1:13" collapsed="1" x14ac:dyDescent="0.25">
      <c r="A32" s="30"/>
      <c r="B32" s="30"/>
      <c r="C32" s="37"/>
      <c r="D32" s="30"/>
      <c r="E32" s="43" t="s">
        <v>112</v>
      </c>
      <c r="F32" s="43">
        <v>135</v>
      </c>
    </row>
    <row r="33" spans="1:7" x14ac:dyDescent="0.25">
      <c r="A33" s="30"/>
      <c r="B33" s="44" t="s">
        <v>113</v>
      </c>
      <c r="C33" s="37"/>
      <c r="D33" s="30"/>
      <c r="E33" s="45">
        <v>2020</v>
      </c>
      <c r="F33">
        <f>15.8+14.4</f>
        <v>30.200000000000003</v>
      </c>
    </row>
    <row r="34" spans="1:7" x14ac:dyDescent="0.25">
      <c r="A34" t="s">
        <v>114</v>
      </c>
      <c r="B34">
        <v>75</v>
      </c>
      <c r="C34" s="46" t="s">
        <v>115</v>
      </c>
      <c r="D34" s="30"/>
      <c r="E34" s="45">
        <v>2021</v>
      </c>
      <c r="F34" s="47">
        <f>B39</f>
        <v>36</v>
      </c>
    </row>
    <row r="35" spans="1:7" x14ac:dyDescent="0.25">
      <c r="A35" s="48" t="s">
        <v>116</v>
      </c>
      <c r="B35" s="48">
        <v>30</v>
      </c>
      <c r="C35" s="46" t="s">
        <v>117</v>
      </c>
      <c r="D35" s="30"/>
      <c r="E35" s="45">
        <v>2022</v>
      </c>
      <c r="F35" s="83">
        <f>F32-(F33)-(F34)</f>
        <v>68.8</v>
      </c>
    </row>
    <row r="36" spans="1:7" x14ac:dyDescent="0.25">
      <c r="A36" t="s">
        <v>118</v>
      </c>
      <c r="B36">
        <v>25</v>
      </c>
      <c r="C36" s="46" t="s">
        <v>119</v>
      </c>
      <c r="D36" s="30"/>
    </row>
    <row r="37" spans="1:7" x14ac:dyDescent="0.25">
      <c r="A37" s="48" t="s">
        <v>120</v>
      </c>
      <c r="B37" s="48">
        <v>11</v>
      </c>
      <c r="C37" s="46" t="s">
        <v>121</v>
      </c>
    </row>
    <row r="38" spans="1:7" x14ac:dyDescent="0.25">
      <c r="A38" s="49" t="s">
        <v>122</v>
      </c>
      <c r="B38" s="50">
        <f>B34+B35</f>
        <v>105</v>
      </c>
      <c r="C38" s="37"/>
      <c r="D38" s="30"/>
    </row>
    <row r="39" spans="1:7" ht="15.75" thickBot="1" x14ac:dyDescent="0.3">
      <c r="A39" s="49" t="s">
        <v>123</v>
      </c>
      <c r="B39" s="50">
        <f>B36+B37</f>
        <v>36</v>
      </c>
      <c r="C39" s="37"/>
      <c r="D39" s="30"/>
      <c r="F39" s="30"/>
    </row>
    <row r="40" spans="1:7" x14ac:dyDescent="0.25">
      <c r="A40" s="30"/>
      <c r="B40" s="51"/>
      <c r="C40" s="37"/>
      <c r="D40" s="30"/>
      <c r="E40" s="52" t="s">
        <v>124</v>
      </c>
      <c r="F40" s="53"/>
    </row>
    <row r="41" spans="1:7" x14ac:dyDescent="0.25">
      <c r="A41" t="s">
        <v>63</v>
      </c>
      <c r="B41" s="81">
        <f>C41*$E$41</f>
        <v>1350000</v>
      </c>
      <c r="C41" s="54">
        <v>0.6</v>
      </c>
      <c r="E41" s="55">
        <v>2250000</v>
      </c>
      <c r="F41" s="56" t="s">
        <v>54</v>
      </c>
    </row>
    <row r="42" spans="1:7" x14ac:dyDescent="0.25">
      <c r="A42" t="s">
        <v>64</v>
      </c>
      <c r="B42" s="81">
        <f t="shared" ref="B42:B43" si="3">C42*$E$41</f>
        <v>675000</v>
      </c>
      <c r="C42" s="54">
        <v>0.3</v>
      </c>
      <c r="E42" s="55">
        <v>350000</v>
      </c>
      <c r="F42" s="56" t="s">
        <v>62</v>
      </c>
    </row>
    <row r="43" spans="1:7" ht="15.75" thickBot="1" x14ac:dyDescent="0.3">
      <c r="A43" t="s">
        <v>65</v>
      </c>
      <c r="B43" s="81">
        <f t="shared" si="3"/>
        <v>225000</v>
      </c>
      <c r="C43" s="54">
        <v>0.1</v>
      </c>
      <c r="E43" s="57" t="s">
        <v>125</v>
      </c>
      <c r="F43" s="58" t="s">
        <v>126</v>
      </c>
    </row>
    <row r="44" spans="1:7" x14ac:dyDescent="0.25">
      <c r="A44" t="s">
        <v>62</v>
      </c>
      <c r="B44" s="81">
        <v>350000</v>
      </c>
      <c r="C44" s="54"/>
    </row>
    <row r="45" spans="1:7" ht="15.75" thickBot="1" x14ac:dyDescent="0.3">
      <c r="A45" s="59" t="s">
        <v>46</v>
      </c>
      <c r="B45" s="60">
        <f>SUM(B41:B44)</f>
        <v>2600000</v>
      </c>
      <c r="C45" s="61">
        <f>B45/$B$45</f>
        <v>1</v>
      </c>
      <c r="D45" s="62"/>
      <c r="E45" s="62"/>
      <c r="F45" s="62"/>
    </row>
    <row r="46" spans="1:7" ht="15.75" thickTop="1" x14ac:dyDescent="0.25">
      <c r="B46" s="44" t="s">
        <v>113</v>
      </c>
      <c r="C46" s="40" t="s">
        <v>127</v>
      </c>
      <c r="D46" s="40"/>
      <c r="E46" s="40"/>
      <c r="F46" s="40"/>
    </row>
    <row r="47" spans="1:7" x14ac:dyDescent="0.25">
      <c r="A47" s="44" t="s">
        <v>53</v>
      </c>
      <c r="B47" s="63">
        <f>B38</f>
        <v>105</v>
      </c>
      <c r="C47" s="31">
        <f>B47*B44</f>
        <v>36750000</v>
      </c>
      <c r="D47" s="64"/>
      <c r="E47" s="65"/>
      <c r="F47" s="66"/>
      <c r="G47" s="65"/>
    </row>
    <row r="48" spans="1:7" x14ac:dyDescent="0.25">
      <c r="A48" s="44" t="s">
        <v>54</v>
      </c>
      <c r="B48" s="63">
        <f>+B39</f>
        <v>36</v>
      </c>
      <c r="C48" s="31">
        <f>B48*SUM(B41:B42)</f>
        <v>72900000</v>
      </c>
      <c r="D48" s="64"/>
      <c r="E48" s="65"/>
      <c r="F48" s="66"/>
    </row>
    <row r="49" spans="1:7" x14ac:dyDescent="0.25">
      <c r="A49" s="44" t="s">
        <v>65</v>
      </c>
      <c r="B49" s="63">
        <f>+B39</f>
        <v>36</v>
      </c>
      <c r="C49" s="31">
        <f>B49*B43</f>
        <v>8100000</v>
      </c>
      <c r="D49" s="64"/>
      <c r="E49" s="65"/>
      <c r="F49" s="66"/>
    </row>
    <row r="50" spans="1:7" ht="15.75" thickBot="1" x14ac:dyDescent="0.3">
      <c r="C50" s="39">
        <f>SUM(C47:C49)</f>
        <v>117750000</v>
      </c>
      <c r="D50" s="67"/>
      <c r="E50" s="101"/>
      <c r="F50" s="103"/>
    </row>
    <row r="51" spans="1:7" ht="15.75" thickTop="1" x14ac:dyDescent="0.25">
      <c r="D51" s="67"/>
      <c r="E51" s="101"/>
      <c r="F51" s="101"/>
    </row>
    <row r="52" spans="1:7" x14ac:dyDescent="0.25">
      <c r="A52" s="44" t="s">
        <v>128</v>
      </c>
      <c r="C52" s="48" t="s">
        <v>129</v>
      </c>
      <c r="D52" s="67"/>
      <c r="E52" s="101"/>
      <c r="F52" s="101"/>
    </row>
    <row r="53" spans="1:7" x14ac:dyDescent="0.25">
      <c r="A53" s="68" t="s">
        <v>130</v>
      </c>
      <c r="C53" s="65">
        <f>263000*1.2</f>
        <v>315600</v>
      </c>
      <c r="D53" s="64"/>
      <c r="E53" s="101"/>
      <c r="F53" s="101"/>
    </row>
    <row r="54" spans="1:7" x14ac:dyDescent="0.25">
      <c r="A54" s="68" t="s">
        <v>131</v>
      </c>
      <c r="C54" s="65">
        <f>165000*1.2</f>
        <v>198000</v>
      </c>
      <c r="D54" s="64"/>
      <c r="E54" s="101"/>
      <c r="F54" s="101"/>
      <c r="G54" s="104"/>
    </row>
    <row r="55" spans="1:7" x14ac:dyDescent="0.25">
      <c r="A55" s="68" t="s">
        <v>132</v>
      </c>
      <c r="C55" s="65">
        <f>738000*1.2</f>
        <v>885600</v>
      </c>
      <c r="D55" s="64"/>
      <c r="E55" s="101"/>
      <c r="F55" s="101"/>
    </row>
    <row r="56" spans="1:7" x14ac:dyDescent="0.25">
      <c r="A56" s="68" t="s">
        <v>133</v>
      </c>
      <c r="C56" s="65">
        <v>2000000</v>
      </c>
      <c r="D56" s="64"/>
      <c r="E56" s="101"/>
      <c r="F56" s="101"/>
    </row>
    <row r="57" spans="1:7" x14ac:dyDescent="0.25">
      <c r="A57" s="68" t="s">
        <v>134</v>
      </c>
      <c r="C57" s="65">
        <f>500000*1.2</f>
        <v>600000</v>
      </c>
      <c r="D57" s="64"/>
      <c r="E57" s="101"/>
      <c r="F57" s="101"/>
    </row>
    <row r="58" spans="1:7" x14ac:dyDescent="0.25">
      <c r="C58" s="69">
        <f>SUM(C53:C57)</f>
        <v>3999200</v>
      </c>
      <c r="D58" s="64"/>
      <c r="E58" s="101"/>
      <c r="F58" s="102"/>
    </row>
    <row r="60" spans="1:7" x14ac:dyDescent="0.25">
      <c r="A60" s="70" t="s">
        <v>46</v>
      </c>
      <c r="B60" s="71"/>
      <c r="C60" s="72">
        <f>C50+C58</f>
        <v>121749200</v>
      </c>
      <c r="D60" s="88">
        <f>C60-G60</f>
        <v>1493250</v>
      </c>
      <c r="E60" s="89" t="s">
        <v>135</v>
      </c>
      <c r="F60" s="90"/>
      <c r="G60" s="91">
        <v>120255950</v>
      </c>
    </row>
    <row r="61" spans="1:7" x14ac:dyDescent="0.25">
      <c r="F61" s="31"/>
    </row>
    <row r="62" spans="1:7" x14ac:dyDescent="0.25">
      <c r="B62" s="44"/>
      <c r="C62" s="76"/>
      <c r="D62" s="73"/>
    </row>
    <row r="63" spans="1:7" x14ac:dyDescent="0.25">
      <c r="B63" s="65"/>
      <c r="C63" s="54"/>
      <c r="D63" s="73"/>
    </row>
    <row r="64" spans="1:7" x14ac:dyDescent="0.25">
      <c r="B64" s="65"/>
    </row>
    <row r="65" spans="2:3" x14ac:dyDescent="0.25">
      <c r="B65" s="65"/>
      <c r="C65" s="104"/>
    </row>
    <row r="66" spans="2:3" x14ac:dyDescent="0.25">
      <c r="B66" s="65"/>
    </row>
    <row r="67" spans="2:3" x14ac:dyDescent="0.25">
      <c r="B67" s="65"/>
    </row>
    <row r="68" spans="2:3" x14ac:dyDescent="0.25">
      <c r="B68" s="31"/>
    </row>
  </sheetData>
  <mergeCells count="1">
    <mergeCell ref="F14:F17"/>
  </mergeCells>
  <pageMargins left="0.7" right="0.7" top="0.75" bottom="0.75" header="0.3" footer="0.3"/>
  <pageSetup orientation="landscape" horizontalDpi="4294967293" vertic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C1660-9CC4-4A78-8667-49A5884E8355}">
  <dimension ref="A1:O64"/>
  <sheetViews>
    <sheetView tabSelected="1" zoomScale="85" zoomScaleNormal="85" workbookViewId="0">
      <pane xSplit="6" ySplit="2" topLeftCell="G32" activePane="bottomRight" state="frozen"/>
      <selection activeCell="B52" sqref="B52"/>
      <selection pane="topRight" activeCell="B52" sqref="B52"/>
      <selection pane="bottomLeft" activeCell="B52" sqref="B52"/>
      <selection pane="bottomRight" activeCell="H64" sqref="H64"/>
    </sheetView>
  </sheetViews>
  <sheetFormatPr defaultRowHeight="15" outlineLevelRow="1" x14ac:dyDescent="0.25"/>
  <cols>
    <col min="1" max="1" width="31.28515625" customWidth="1"/>
    <col min="2" max="2" width="19.5703125" customWidth="1"/>
    <col min="3" max="3" width="21.7109375" customWidth="1"/>
    <col min="4" max="4" width="14.7109375" customWidth="1"/>
    <col min="5" max="5" width="18.28515625" customWidth="1"/>
    <col min="6" max="6" width="20.5703125" customWidth="1"/>
    <col min="7" max="8" width="15.28515625" bestFit="1" customWidth="1"/>
    <col min="9" max="9" width="9.28515625" customWidth="1"/>
    <col min="10" max="10" width="15.28515625" bestFit="1" customWidth="1"/>
    <col min="11" max="11" width="16.28515625" bestFit="1" customWidth="1"/>
    <col min="12" max="12" width="4.28515625" customWidth="1"/>
    <col min="13" max="13" width="14.28515625" bestFit="1" customWidth="1"/>
    <col min="15" max="15" width="45.28515625" bestFit="1" customWidth="1"/>
  </cols>
  <sheetData>
    <row r="1" spans="1:15" ht="18.75" x14ac:dyDescent="0.3">
      <c r="A1" s="23" t="s">
        <v>136</v>
      </c>
    </row>
    <row r="2" spans="1:15" ht="77.25" hidden="1" outlineLevel="1" thickBot="1" x14ac:dyDescent="0.3">
      <c r="A2" s="24" t="s">
        <v>56</v>
      </c>
      <c r="B2" s="24" t="s">
        <v>57</v>
      </c>
      <c r="C2" s="25" t="s">
        <v>58</v>
      </c>
      <c r="D2" s="24" t="s">
        <v>59</v>
      </c>
      <c r="E2" s="24" t="s">
        <v>60</v>
      </c>
      <c r="F2" s="26" t="s">
        <v>61</v>
      </c>
      <c r="G2" t="s">
        <v>63</v>
      </c>
      <c r="H2" t="s">
        <v>64</v>
      </c>
      <c r="I2" t="s">
        <v>65</v>
      </c>
      <c r="J2" t="s">
        <v>44</v>
      </c>
      <c r="K2" t="s">
        <v>66</v>
      </c>
      <c r="M2" t="s">
        <v>67</v>
      </c>
      <c r="O2" t="s">
        <v>68</v>
      </c>
    </row>
    <row r="3" spans="1:15" hidden="1" outlineLevel="1" x14ac:dyDescent="0.25">
      <c r="A3" s="27">
        <v>2021</v>
      </c>
      <c r="B3" s="28" t="s">
        <v>69</v>
      </c>
      <c r="C3" s="28" t="s">
        <v>70</v>
      </c>
      <c r="D3" s="28" t="s">
        <v>71</v>
      </c>
      <c r="E3" s="29">
        <v>5.9969999999999999</v>
      </c>
      <c r="F3" s="30"/>
      <c r="G3" s="31">
        <f>E3*$B$41</f>
        <v>8095950</v>
      </c>
      <c r="H3" s="31">
        <f>E3*$B$42</f>
        <v>4047975</v>
      </c>
      <c r="I3" s="31">
        <f>E3*$B$43</f>
        <v>1349325</v>
      </c>
      <c r="J3" s="31">
        <f>SUM(G3:I3)</f>
        <v>13493250</v>
      </c>
      <c r="K3" s="32">
        <f>J3-4300000</f>
        <v>9193250</v>
      </c>
      <c r="M3" s="31">
        <f>K3/E3</f>
        <v>1532974.8207437051</v>
      </c>
      <c r="O3" t="s">
        <v>72</v>
      </c>
    </row>
    <row r="4" spans="1:15" hidden="1" outlineLevel="1" x14ac:dyDescent="0.25">
      <c r="A4" s="33">
        <v>2021</v>
      </c>
      <c r="B4" s="34" t="s">
        <v>69</v>
      </c>
      <c r="C4" s="34" t="s">
        <v>73</v>
      </c>
      <c r="D4" s="34" t="s">
        <v>71</v>
      </c>
      <c r="E4" s="35">
        <v>4.45</v>
      </c>
      <c r="F4" s="30"/>
      <c r="G4" s="31">
        <f>E4*$B$41</f>
        <v>6007500</v>
      </c>
      <c r="H4" s="31">
        <f>E4*$B$42</f>
        <v>3003750</v>
      </c>
      <c r="I4" s="31">
        <f>E4*$B$43</f>
        <v>1001250</v>
      </c>
      <c r="J4" s="31">
        <f t="shared" ref="J4:J17" si="0">SUM(G4:I4)</f>
        <v>10012500</v>
      </c>
      <c r="K4" s="31">
        <f>J4</f>
        <v>10012500</v>
      </c>
      <c r="M4" s="31">
        <f>K4/E4</f>
        <v>2250000</v>
      </c>
      <c r="O4" t="s">
        <v>74</v>
      </c>
    </row>
    <row r="5" spans="1:15" hidden="1" outlineLevel="1" x14ac:dyDescent="0.25">
      <c r="A5" s="27">
        <v>2021</v>
      </c>
      <c r="B5" s="28" t="s">
        <v>69</v>
      </c>
      <c r="C5" s="28" t="s">
        <v>75</v>
      </c>
      <c r="D5" s="28" t="s">
        <v>76</v>
      </c>
      <c r="E5" s="36">
        <v>3.8759999999999999</v>
      </c>
      <c r="F5" s="30"/>
      <c r="G5" s="31">
        <f>E5*$B$41</f>
        <v>5232600</v>
      </c>
      <c r="H5" s="31">
        <f>E5*$B$42</f>
        <v>2616300</v>
      </c>
      <c r="I5" s="31">
        <f>E5*$B$43</f>
        <v>872100</v>
      </c>
      <c r="J5" s="31">
        <f t="shared" si="0"/>
        <v>8721000</v>
      </c>
      <c r="K5" s="31">
        <f>J5</f>
        <v>8721000</v>
      </c>
      <c r="M5" s="31">
        <f>K5/E5</f>
        <v>2250000</v>
      </c>
    </row>
    <row r="6" spans="1:15" hidden="1" outlineLevel="1" x14ac:dyDescent="0.25">
      <c r="A6" s="33">
        <v>2021</v>
      </c>
      <c r="B6" s="34" t="s">
        <v>77</v>
      </c>
      <c r="C6" s="34" t="s">
        <v>78</v>
      </c>
      <c r="D6" s="34" t="s">
        <v>71</v>
      </c>
      <c r="E6" s="35">
        <v>2.2999999999999998</v>
      </c>
      <c r="F6" s="30"/>
      <c r="G6" s="31">
        <f>E6*$B$41</f>
        <v>3104999.9999999995</v>
      </c>
      <c r="H6" s="31">
        <f>E6*$B$42</f>
        <v>1552499.9999999998</v>
      </c>
      <c r="I6" s="31">
        <f>E6*$B$43</f>
        <v>517499.99999999994</v>
      </c>
      <c r="J6" s="31">
        <f t="shared" si="0"/>
        <v>5174999.9999999991</v>
      </c>
      <c r="K6" s="32">
        <f>J6-1700000</f>
        <v>3474999.9999999991</v>
      </c>
      <c r="M6" s="31">
        <f>K6/E6</f>
        <v>1510869.5652173911</v>
      </c>
      <c r="O6" t="s">
        <v>79</v>
      </c>
    </row>
    <row r="7" spans="1:15" hidden="1" outlineLevel="1" x14ac:dyDescent="0.25">
      <c r="A7" s="27">
        <v>2021</v>
      </c>
      <c r="B7" s="28" t="s">
        <v>80</v>
      </c>
      <c r="C7" s="28" t="s">
        <v>81</v>
      </c>
      <c r="D7" s="28" t="s">
        <v>82</v>
      </c>
      <c r="E7" s="36">
        <v>0.41</v>
      </c>
      <c r="F7" s="30"/>
      <c r="G7" s="31">
        <f>E7*$B$41</f>
        <v>553500</v>
      </c>
      <c r="H7" s="31">
        <f>E7*$B$42</f>
        <v>276750</v>
      </c>
      <c r="I7" s="31">
        <f>E7*$B$43</f>
        <v>92250</v>
      </c>
      <c r="J7" s="31">
        <f t="shared" si="0"/>
        <v>922500</v>
      </c>
      <c r="K7" s="31">
        <f t="shared" ref="K7:K17" si="1">J7</f>
        <v>922500</v>
      </c>
      <c r="M7" s="31">
        <f>K7/E7</f>
        <v>2250000</v>
      </c>
    </row>
    <row r="8" spans="1:15" hidden="1" outlineLevel="1" x14ac:dyDescent="0.25">
      <c r="A8" s="33">
        <v>2021</v>
      </c>
      <c r="B8" s="34" t="s">
        <v>80</v>
      </c>
      <c r="C8" s="34" t="s">
        <v>83</v>
      </c>
      <c r="D8" s="34" t="s">
        <v>82</v>
      </c>
      <c r="E8" s="35">
        <v>1.6739999999999999</v>
      </c>
      <c r="F8" s="30"/>
      <c r="G8" s="31">
        <f>E8*$B$41</f>
        <v>2259900</v>
      </c>
      <c r="H8" s="31">
        <f>E8*$B$42</f>
        <v>1129950</v>
      </c>
      <c r="I8" s="31">
        <f>E8*$B$43</f>
        <v>376650</v>
      </c>
      <c r="J8" s="31">
        <f t="shared" si="0"/>
        <v>3766500</v>
      </c>
      <c r="K8" s="31">
        <f t="shared" si="1"/>
        <v>3766500</v>
      </c>
      <c r="M8" s="31">
        <f>K8/E8</f>
        <v>2250000</v>
      </c>
    </row>
    <row r="9" spans="1:15" hidden="1" outlineLevel="1" x14ac:dyDescent="0.25">
      <c r="A9" s="27">
        <v>2021</v>
      </c>
      <c r="B9" s="28" t="s">
        <v>80</v>
      </c>
      <c r="C9" s="28" t="s">
        <v>84</v>
      </c>
      <c r="D9" s="28" t="s">
        <v>82</v>
      </c>
      <c r="E9" s="36">
        <v>1.895</v>
      </c>
      <c r="F9" s="30"/>
      <c r="G9" s="31">
        <f>E9*$B$41</f>
        <v>2558250</v>
      </c>
      <c r="H9" s="31">
        <f>E9*$B$42</f>
        <v>1279125</v>
      </c>
      <c r="I9" s="31">
        <f>E9*$B$43</f>
        <v>426375</v>
      </c>
      <c r="J9" s="31">
        <f t="shared" si="0"/>
        <v>4263750</v>
      </c>
      <c r="K9" s="31">
        <f t="shared" si="1"/>
        <v>4263750</v>
      </c>
      <c r="M9" s="31">
        <f>K9/E9</f>
        <v>2250000</v>
      </c>
    </row>
    <row r="10" spans="1:15" hidden="1" outlineLevel="1" x14ac:dyDescent="0.25">
      <c r="A10" s="33">
        <v>2021</v>
      </c>
      <c r="B10" s="34" t="s">
        <v>85</v>
      </c>
      <c r="C10" s="34" t="s">
        <v>86</v>
      </c>
      <c r="D10" s="34" t="s">
        <v>82</v>
      </c>
      <c r="E10" s="35">
        <v>0.1</v>
      </c>
      <c r="F10" s="30"/>
      <c r="G10" s="31">
        <f>E10*$B$41</f>
        <v>135000</v>
      </c>
      <c r="H10" s="31">
        <f>E10*$B$42</f>
        <v>67500</v>
      </c>
      <c r="I10" s="31">
        <f>E10*$B$43</f>
        <v>22500</v>
      </c>
      <c r="J10" s="31">
        <f t="shared" si="0"/>
        <v>225000</v>
      </c>
      <c r="K10" s="31">
        <f t="shared" si="1"/>
        <v>225000</v>
      </c>
      <c r="M10" s="31">
        <f>K10/E10</f>
        <v>2250000</v>
      </c>
    </row>
    <row r="11" spans="1:15" hidden="1" outlineLevel="1" x14ac:dyDescent="0.25">
      <c r="A11" s="27">
        <v>2021</v>
      </c>
      <c r="B11" s="28" t="s">
        <v>87</v>
      </c>
      <c r="C11" s="28" t="s">
        <v>88</v>
      </c>
      <c r="D11" s="28" t="s">
        <v>82</v>
      </c>
      <c r="E11" s="36">
        <v>3.2168000000000001</v>
      </c>
      <c r="F11" s="30"/>
      <c r="G11" s="31">
        <f>E11*$B$41</f>
        <v>4342680</v>
      </c>
      <c r="H11" s="31">
        <f>E11*$B$42</f>
        <v>2171340</v>
      </c>
      <c r="I11" s="31">
        <f>E11*$B$43</f>
        <v>723780</v>
      </c>
      <c r="J11" s="31">
        <f t="shared" si="0"/>
        <v>7237800</v>
      </c>
      <c r="K11" s="31">
        <f t="shared" si="1"/>
        <v>7237800</v>
      </c>
      <c r="M11" s="31">
        <f>K11/E11</f>
        <v>2250000</v>
      </c>
    </row>
    <row r="12" spans="1:15" hidden="1" outlineLevel="1" x14ac:dyDescent="0.25">
      <c r="A12" s="33">
        <v>2021</v>
      </c>
      <c r="B12" s="34" t="s">
        <v>89</v>
      </c>
      <c r="C12" s="34" t="s">
        <v>88</v>
      </c>
      <c r="D12" s="34" t="s">
        <v>82</v>
      </c>
      <c r="E12" s="35">
        <v>1.23</v>
      </c>
      <c r="F12" s="30"/>
      <c r="G12" s="31">
        <f>E12*$B$41</f>
        <v>1660500</v>
      </c>
      <c r="H12" s="31">
        <f>E12*$B$42</f>
        <v>830250</v>
      </c>
      <c r="I12" s="31">
        <f>E12*$B$43</f>
        <v>276750</v>
      </c>
      <c r="J12" s="31">
        <f t="shared" si="0"/>
        <v>2767500</v>
      </c>
      <c r="K12" s="31">
        <f t="shared" si="1"/>
        <v>2767500</v>
      </c>
      <c r="M12" s="31">
        <f>K12/E12</f>
        <v>2250000</v>
      </c>
    </row>
    <row r="13" spans="1:15" hidden="1" outlineLevel="1" x14ac:dyDescent="0.25">
      <c r="A13" s="27">
        <v>2021</v>
      </c>
      <c r="B13" s="28" t="s">
        <v>90</v>
      </c>
      <c r="C13" s="28" t="s">
        <v>91</v>
      </c>
      <c r="D13" s="28" t="s">
        <v>92</v>
      </c>
      <c r="E13" s="36">
        <v>3.093</v>
      </c>
      <c r="F13" s="30"/>
      <c r="G13" s="31">
        <f>E13*$B$41</f>
        <v>4175550</v>
      </c>
      <c r="H13" s="31">
        <f>E13*$B$42</f>
        <v>2087775</v>
      </c>
      <c r="I13" s="31">
        <f>E13*$B$43</f>
        <v>695925</v>
      </c>
      <c r="J13" s="31">
        <f t="shared" si="0"/>
        <v>6959250</v>
      </c>
      <c r="K13" s="31">
        <f t="shared" si="1"/>
        <v>6959250</v>
      </c>
      <c r="M13" s="31">
        <f>K13/E13</f>
        <v>2250000</v>
      </c>
    </row>
    <row r="14" spans="1:15" hidden="1" outlineLevel="1" x14ac:dyDescent="0.25">
      <c r="A14" s="33">
        <v>2021</v>
      </c>
      <c r="B14" s="34" t="s">
        <v>93</v>
      </c>
      <c r="C14" s="34" t="s">
        <v>94</v>
      </c>
      <c r="D14" s="34" t="s">
        <v>82</v>
      </c>
      <c r="E14" s="35">
        <v>3.11</v>
      </c>
      <c r="F14" s="100" t="s">
        <v>95</v>
      </c>
      <c r="G14" s="31">
        <f>E14*$B$41</f>
        <v>4198500</v>
      </c>
      <c r="H14" s="31">
        <f>E14*$B$42</f>
        <v>2099250</v>
      </c>
      <c r="I14" s="31">
        <f>E14*$B$43</f>
        <v>699750</v>
      </c>
      <c r="J14" s="31">
        <f t="shared" si="0"/>
        <v>6997500</v>
      </c>
      <c r="K14" s="31">
        <f t="shared" si="1"/>
        <v>6997500</v>
      </c>
      <c r="M14" s="31">
        <f>K14/E14</f>
        <v>2250000</v>
      </c>
    </row>
    <row r="15" spans="1:15" hidden="1" outlineLevel="1" x14ac:dyDescent="0.25">
      <c r="A15" s="27">
        <v>2021</v>
      </c>
      <c r="B15" s="28" t="s">
        <v>96</v>
      </c>
      <c r="C15" s="28" t="s">
        <v>97</v>
      </c>
      <c r="D15" s="28" t="s">
        <v>82</v>
      </c>
      <c r="E15" s="36">
        <v>0.1</v>
      </c>
      <c r="F15" s="100"/>
      <c r="G15" s="31">
        <f>E15*$B$41</f>
        <v>135000</v>
      </c>
      <c r="H15" s="31">
        <f>E15*$B$42</f>
        <v>67500</v>
      </c>
      <c r="I15" s="31">
        <f>E15*$B$43</f>
        <v>22500</v>
      </c>
      <c r="J15" s="31">
        <f t="shared" si="0"/>
        <v>225000</v>
      </c>
      <c r="K15" s="31">
        <f t="shared" si="1"/>
        <v>225000</v>
      </c>
      <c r="M15" s="31">
        <f>K15/E15</f>
        <v>2250000</v>
      </c>
    </row>
    <row r="16" spans="1:15" hidden="1" outlineLevel="1" x14ac:dyDescent="0.25">
      <c r="A16" s="33">
        <v>2021</v>
      </c>
      <c r="B16" s="34" t="s">
        <v>77</v>
      </c>
      <c r="C16" s="34" t="s">
        <v>98</v>
      </c>
      <c r="D16" s="34" t="s">
        <v>82</v>
      </c>
      <c r="E16" s="35">
        <v>0.24</v>
      </c>
      <c r="F16" s="100"/>
      <c r="G16" s="31">
        <f>E16*$B$41</f>
        <v>324000</v>
      </c>
      <c r="H16" s="31">
        <f>E16*$B$42</f>
        <v>162000</v>
      </c>
      <c r="I16" s="31">
        <f>E16*$B$43</f>
        <v>54000</v>
      </c>
      <c r="J16" s="31">
        <f t="shared" si="0"/>
        <v>540000</v>
      </c>
      <c r="K16" s="31">
        <f t="shared" si="1"/>
        <v>540000</v>
      </c>
      <c r="M16" s="31">
        <f>K16/E16</f>
        <v>2250000</v>
      </c>
    </row>
    <row r="17" spans="1:13" hidden="1" outlineLevel="1" x14ac:dyDescent="0.25">
      <c r="A17" s="27">
        <v>2021</v>
      </c>
      <c r="B17" s="28" t="s">
        <v>89</v>
      </c>
      <c r="C17" s="28" t="s">
        <v>99</v>
      </c>
      <c r="D17" s="28" t="s">
        <v>82</v>
      </c>
      <c r="E17" s="36">
        <v>0.82</v>
      </c>
      <c r="F17" s="100"/>
      <c r="G17" s="31">
        <f>E17*$B$41</f>
        <v>1107000</v>
      </c>
      <c r="H17" s="31">
        <f>E17*$B$42</f>
        <v>553500</v>
      </c>
      <c r="I17" s="31">
        <f>E17*$B$43</f>
        <v>184500</v>
      </c>
      <c r="J17" s="31">
        <f t="shared" si="0"/>
        <v>1845000</v>
      </c>
      <c r="K17" s="31">
        <f t="shared" si="1"/>
        <v>1845000</v>
      </c>
      <c r="M17" s="31">
        <f>K17/E17</f>
        <v>2250000</v>
      </c>
    </row>
    <row r="18" spans="1:13" ht="15.75" hidden="1" outlineLevel="1" thickBot="1" x14ac:dyDescent="0.3">
      <c r="A18" s="30"/>
      <c r="B18" s="30"/>
      <c r="C18" s="37"/>
      <c r="D18" s="30"/>
      <c r="E18" s="38">
        <f>SUM(E3:E13)</f>
        <v>28.241799999999998</v>
      </c>
      <c r="F18" s="30"/>
      <c r="G18" s="39">
        <f>SUM(G3:G17)</f>
        <v>43890930</v>
      </c>
      <c r="H18" s="39">
        <f>SUM(H3:H17)</f>
        <v>21945465</v>
      </c>
      <c r="I18" s="39">
        <f>SUM(I3:I17)</f>
        <v>7315155</v>
      </c>
      <c r="J18" s="39">
        <f>SUM(J3:J17)</f>
        <v>73151550</v>
      </c>
      <c r="K18" s="39">
        <f>J18-6000000</f>
        <v>67151550</v>
      </c>
      <c r="M18" s="39">
        <f>K18/E18</f>
        <v>2377736.1924523227</v>
      </c>
    </row>
    <row r="19" spans="1:13" hidden="1" outlineLevel="1" x14ac:dyDescent="0.25">
      <c r="A19" s="40" t="s">
        <v>62</v>
      </c>
      <c r="B19" s="30"/>
      <c r="C19" s="37"/>
      <c r="D19" s="30"/>
      <c r="E19" s="41"/>
      <c r="F19" s="30"/>
    </row>
    <row r="20" spans="1:13" hidden="1" outlineLevel="1" x14ac:dyDescent="0.25">
      <c r="A20" s="33" t="s">
        <v>100</v>
      </c>
      <c r="B20" s="34" t="s">
        <v>88</v>
      </c>
      <c r="C20" s="34"/>
      <c r="D20" s="34"/>
      <c r="E20" s="34">
        <v>4</v>
      </c>
      <c r="F20" s="30"/>
      <c r="J20" s="31" t="e">
        <f>+#REF!</f>
        <v>#REF!</v>
      </c>
      <c r="K20" s="31" t="e">
        <f>+J20</f>
        <v>#REF!</v>
      </c>
      <c r="M20" s="31" t="e">
        <f>K20/E20</f>
        <v>#REF!</v>
      </c>
    </row>
    <row r="21" spans="1:13" hidden="1" outlineLevel="1" x14ac:dyDescent="0.25">
      <c r="A21" s="27" t="s">
        <v>101</v>
      </c>
      <c r="B21" s="28" t="s">
        <v>102</v>
      </c>
      <c r="C21" s="28"/>
      <c r="D21" s="28"/>
      <c r="E21" s="28">
        <v>2.9</v>
      </c>
      <c r="F21" s="30"/>
      <c r="J21" s="31" t="e">
        <f>+#REF!</f>
        <v>#REF!</v>
      </c>
      <c r="K21" s="31" t="e">
        <f t="shared" ref="K21:K28" si="2">+J21</f>
        <v>#REF!</v>
      </c>
      <c r="M21" s="31" t="e">
        <f>K21/E21</f>
        <v>#REF!</v>
      </c>
    </row>
    <row r="22" spans="1:13" hidden="1" outlineLevel="1" x14ac:dyDescent="0.25">
      <c r="A22" s="33" t="s">
        <v>103</v>
      </c>
      <c r="B22" s="34" t="s">
        <v>104</v>
      </c>
      <c r="C22" s="34"/>
      <c r="D22" s="34"/>
      <c r="E22" s="34">
        <v>3.5</v>
      </c>
      <c r="F22" s="30"/>
      <c r="J22" s="31" t="e">
        <f>+#REF!</f>
        <v>#REF!</v>
      </c>
      <c r="K22" s="31" t="e">
        <f t="shared" si="2"/>
        <v>#REF!</v>
      </c>
      <c r="M22" s="31" t="e">
        <f>K22/E22</f>
        <v>#REF!</v>
      </c>
    </row>
    <row r="23" spans="1:13" hidden="1" outlineLevel="1" x14ac:dyDescent="0.25">
      <c r="A23" s="27" t="s">
        <v>105</v>
      </c>
      <c r="B23" s="28" t="s">
        <v>104</v>
      </c>
      <c r="C23" s="28"/>
      <c r="D23" s="28"/>
      <c r="E23" s="28">
        <v>2.2000000000000002</v>
      </c>
      <c r="F23" s="30"/>
      <c r="J23" s="31" t="e">
        <f>+#REF!</f>
        <v>#REF!</v>
      </c>
      <c r="K23" s="31" t="e">
        <f t="shared" si="2"/>
        <v>#REF!</v>
      </c>
      <c r="M23" s="31" t="e">
        <f>K23/E23</f>
        <v>#REF!</v>
      </c>
    </row>
    <row r="24" spans="1:13" hidden="1" outlineLevel="1" x14ac:dyDescent="0.25">
      <c r="A24" s="33" t="s">
        <v>106</v>
      </c>
      <c r="B24" s="34" t="s">
        <v>107</v>
      </c>
      <c r="C24" s="34"/>
      <c r="D24" s="34"/>
      <c r="E24" s="34">
        <v>2.5</v>
      </c>
      <c r="F24" s="30"/>
      <c r="J24" s="31" t="e">
        <f>+#REF!</f>
        <v>#REF!</v>
      </c>
      <c r="K24" s="31" t="e">
        <f t="shared" si="2"/>
        <v>#REF!</v>
      </c>
      <c r="M24" s="31" t="e">
        <f>K24/E24</f>
        <v>#REF!</v>
      </c>
    </row>
    <row r="25" spans="1:13" hidden="1" outlineLevel="1" x14ac:dyDescent="0.25">
      <c r="A25" s="27" t="s">
        <v>108</v>
      </c>
      <c r="B25" s="28" t="s">
        <v>107</v>
      </c>
      <c r="C25" s="28"/>
      <c r="D25" s="28"/>
      <c r="E25" s="28">
        <v>4.9000000000000004</v>
      </c>
      <c r="F25" s="30"/>
      <c r="J25" s="31" t="e">
        <f>+#REF!</f>
        <v>#REF!</v>
      </c>
      <c r="K25" s="31" t="e">
        <f t="shared" si="2"/>
        <v>#REF!</v>
      </c>
      <c r="M25" s="31" t="e">
        <f>K25/E25</f>
        <v>#REF!</v>
      </c>
    </row>
    <row r="26" spans="1:13" hidden="1" outlineLevel="1" x14ac:dyDescent="0.25">
      <c r="A26" s="33" t="s">
        <v>109</v>
      </c>
      <c r="B26" s="34" t="s">
        <v>107</v>
      </c>
      <c r="C26" s="34"/>
      <c r="D26" s="34"/>
      <c r="E26" s="34">
        <v>3.1</v>
      </c>
      <c r="F26" s="30"/>
      <c r="J26" s="31" t="e">
        <f>+#REF!</f>
        <v>#REF!</v>
      </c>
      <c r="K26" s="31" t="e">
        <f t="shared" si="2"/>
        <v>#REF!</v>
      </c>
      <c r="M26" s="31" t="e">
        <f>K26/E26</f>
        <v>#REF!</v>
      </c>
    </row>
    <row r="27" spans="1:13" hidden="1" outlineLevel="1" x14ac:dyDescent="0.25">
      <c r="A27" s="27" t="s">
        <v>90</v>
      </c>
      <c r="B27" s="28" t="s">
        <v>110</v>
      </c>
      <c r="C27" s="28"/>
      <c r="D27" s="28"/>
      <c r="E27" s="28">
        <v>8.08</v>
      </c>
      <c r="F27" s="30"/>
      <c r="J27" s="31" t="e">
        <f>+#REF!</f>
        <v>#REF!</v>
      </c>
      <c r="K27" s="31" t="e">
        <f t="shared" si="2"/>
        <v>#REF!</v>
      </c>
      <c r="M27" s="31" t="e">
        <f>K27/E27</f>
        <v>#REF!</v>
      </c>
    </row>
    <row r="28" spans="1:13" hidden="1" outlineLevel="1" x14ac:dyDescent="0.25">
      <c r="A28" s="33" t="s">
        <v>111</v>
      </c>
      <c r="B28" s="34" t="s">
        <v>88</v>
      </c>
      <c r="C28" s="34"/>
      <c r="D28" s="34"/>
      <c r="E28" s="34">
        <v>3.6</v>
      </c>
      <c r="F28" s="30"/>
      <c r="J28" s="31" t="e">
        <f>+#REF!</f>
        <v>#REF!</v>
      </c>
      <c r="K28" s="31" t="e">
        <f t="shared" si="2"/>
        <v>#REF!</v>
      </c>
      <c r="M28" s="31" t="e">
        <f>K28/E28</f>
        <v>#REF!</v>
      </c>
    </row>
    <row r="29" spans="1:13" ht="15.75" hidden="1" outlineLevel="1" thickBot="1" x14ac:dyDescent="0.3">
      <c r="A29" s="30"/>
      <c r="B29" s="30"/>
      <c r="C29" s="37"/>
      <c r="D29" s="30"/>
      <c r="E29" s="38">
        <f>SUM(E20:E28)</f>
        <v>34.78</v>
      </c>
      <c r="F29" s="30"/>
      <c r="J29" s="39" t="e">
        <f>SUM(J20:J28)</f>
        <v>#REF!</v>
      </c>
      <c r="K29" s="39" t="e">
        <f>SUM(K20:K28)</f>
        <v>#REF!</v>
      </c>
      <c r="M29" s="39" t="e">
        <f>K29/E29</f>
        <v>#REF!</v>
      </c>
    </row>
    <row r="30" spans="1:13" hidden="1" outlineLevel="1" x14ac:dyDescent="0.25">
      <c r="A30" s="30"/>
      <c r="B30" s="30"/>
      <c r="C30" s="37"/>
      <c r="D30" s="30"/>
      <c r="E30" s="42"/>
      <c r="F30" s="30"/>
      <c r="K30" s="31"/>
    </row>
    <row r="31" spans="1:13" hidden="1" outlineLevel="1" x14ac:dyDescent="0.25">
      <c r="A31" s="30"/>
      <c r="B31" s="30"/>
      <c r="C31" s="37"/>
      <c r="D31" s="30"/>
      <c r="E31" s="42"/>
      <c r="F31" s="30"/>
      <c r="I31" t="s">
        <v>44</v>
      </c>
      <c r="K31" s="31" t="e">
        <f>K29+K18</f>
        <v>#REF!</v>
      </c>
      <c r="M31" s="31" t="e">
        <f>+M29+M18</f>
        <v>#REF!</v>
      </c>
    </row>
    <row r="32" spans="1:13" collapsed="1" x14ac:dyDescent="0.25">
      <c r="A32" s="30"/>
      <c r="B32" s="30"/>
      <c r="C32" s="37"/>
      <c r="D32" s="30"/>
      <c r="E32" s="43" t="s">
        <v>112</v>
      </c>
      <c r="F32" s="43">
        <v>135</v>
      </c>
    </row>
    <row r="33" spans="1:7" x14ac:dyDescent="0.25">
      <c r="A33" s="30"/>
      <c r="B33" s="44" t="s">
        <v>113</v>
      </c>
      <c r="C33" s="37"/>
      <c r="D33" s="30"/>
      <c r="E33" s="45">
        <v>2020</v>
      </c>
      <c r="F33" s="77">
        <f>15.8+14.4</f>
        <v>30.200000000000003</v>
      </c>
    </row>
    <row r="34" spans="1:7" x14ac:dyDescent="0.25">
      <c r="A34" t="s">
        <v>114</v>
      </c>
      <c r="B34">
        <f>125*1.3</f>
        <v>162.5</v>
      </c>
      <c r="C34" s="46" t="s">
        <v>137</v>
      </c>
      <c r="D34" s="30"/>
      <c r="E34" s="45">
        <v>2021</v>
      </c>
      <c r="F34" s="78">
        <f>B39</f>
        <v>70</v>
      </c>
    </row>
    <row r="35" spans="1:7" x14ac:dyDescent="0.25">
      <c r="A35" s="48" t="s">
        <v>116</v>
      </c>
      <c r="B35" s="48">
        <v>0</v>
      </c>
      <c r="C35" s="46" t="s">
        <v>138</v>
      </c>
      <c r="D35" s="30"/>
      <c r="E35" s="45">
        <v>2022</v>
      </c>
      <c r="F35" s="84">
        <f>F32-(F33)-(F34)</f>
        <v>34.799999999999997</v>
      </c>
    </row>
    <row r="36" spans="1:7" x14ac:dyDescent="0.25">
      <c r="A36" t="s">
        <v>118</v>
      </c>
      <c r="B36">
        <v>70</v>
      </c>
      <c r="C36" s="46" t="s">
        <v>139</v>
      </c>
      <c r="D36" s="30"/>
    </row>
    <row r="37" spans="1:7" x14ac:dyDescent="0.25">
      <c r="A37" s="48" t="s">
        <v>120</v>
      </c>
      <c r="B37" s="48">
        <v>0</v>
      </c>
      <c r="C37" s="46" t="s">
        <v>138</v>
      </c>
      <c r="D37" s="30"/>
    </row>
    <row r="38" spans="1:7" x14ac:dyDescent="0.25">
      <c r="A38" s="49" t="s">
        <v>122</v>
      </c>
      <c r="B38" s="50">
        <f>B34+B35</f>
        <v>162.5</v>
      </c>
      <c r="C38" s="37"/>
      <c r="D38" s="30"/>
    </row>
    <row r="39" spans="1:7" ht="15.75" thickBot="1" x14ac:dyDescent="0.3">
      <c r="A39" s="49" t="s">
        <v>123</v>
      </c>
      <c r="B39" s="50">
        <f>B36+B37</f>
        <v>70</v>
      </c>
      <c r="C39" s="37"/>
      <c r="D39" s="30"/>
      <c r="F39" s="30"/>
    </row>
    <row r="40" spans="1:7" x14ac:dyDescent="0.25">
      <c r="A40" s="30"/>
      <c r="B40" s="51"/>
      <c r="C40" s="37"/>
      <c r="D40" s="30"/>
      <c r="E40" s="52" t="s">
        <v>124</v>
      </c>
      <c r="F40" s="53"/>
    </row>
    <row r="41" spans="1:7" x14ac:dyDescent="0.25">
      <c r="A41" t="s">
        <v>63</v>
      </c>
      <c r="B41" s="81">
        <f>C41*$E$41</f>
        <v>1350000</v>
      </c>
      <c r="C41" s="54">
        <v>0.6</v>
      </c>
      <c r="E41" s="55">
        <v>2250000</v>
      </c>
      <c r="F41" s="56" t="s">
        <v>54</v>
      </c>
    </row>
    <row r="42" spans="1:7" x14ac:dyDescent="0.25">
      <c r="A42" t="s">
        <v>64</v>
      </c>
      <c r="B42" s="81">
        <f t="shared" ref="B42:B43" si="3">C42*$E$41</f>
        <v>675000</v>
      </c>
      <c r="C42" s="54">
        <v>0.3</v>
      </c>
      <c r="E42" s="55">
        <v>350000</v>
      </c>
      <c r="F42" s="56" t="s">
        <v>62</v>
      </c>
    </row>
    <row r="43" spans="1:7" ht="15.75" thickBot="1" x14ac:dyDescent="0.3">
      <c r="A43" t="s">
        <v>65</v>
      </c>
      <c r="B43" s="81">
        <f t="shared" si="3"/>
        <v>225000</v>
      </c>
      <c r="C43" s="54">
        <v>0.1</v>
      </c>
      <c r="E43" s="57" t="s">
        <v>140</v>
      </c>
      <c r="F43" s="58" t="s">
        <v>126</v>
      </c>
    </row>
    <row r="44" spans="1:7" x14ac:dyDescent="0.25">
      <c r="A44" t="s">
        <v>62</v>
      </c>
      <c r="B44" s="81">
        <v>350000</v>
      </c>
      <c r="C44" s="54"/>
    </row>
    <row r="45" spans="1:7" ht="15.75" thickBot="1" x14ac:dyDescent="0.3">
      <c r="A45" s="59" t="s">
        <v>46</v>
      </c>
      <c r="B45" s="60">
        <f>SUM(B41:B44)</f>
        <v>2600000</v>
      </c>
      <c r="C45" s="61">
        <f>B45/$B$45</f>
        <v>1</v>
      </c>
      <c r="D45" s="62"/>
      <c r="E45" s="62"/>
      <c r="F45" s="62"/>
    </row>
    <row r="46" spans="1:7" ht="15.75" thickTop="1" x14ac:dyDescent="0.25">
      <c r="B46" s="44" t="s">
        <v>113</v>
      </c>
      <c r="C46" s="40" t="s">
        <v>127</v>
      </c>
      <c r="D46" s="40"/>
      <c r="E46" s="40"/>
      <c r="F46" s="40"/>
    </row>
    <row r="47" spans="1:7" x14ac:dyDescent="0.25">
      <c r="A47" s="44" t="s">
        <v>53</v>
      </c>
      <c r="B47" s="63">
        <f>B38</f>
        <v>162.5</v>
      </c>
      <c r="C47" s="31">
        <f>B47*B44</f>
        <v>56875000</v>
      </c>
      <c r="D47" s="64"/>
      <c r="E47" s="65"/>
      <c r="F47" s="66"/>
      <c r="G47" s="65"/>
    </row>
    <row r="48" spans="1:7" x14ac:dyDescent="0.25">
      <c r="A48" s="44" t="s">
        <v>54</v>
      </c>
      <c r="B48" s="63">
        <f>B39</f>
        <v>70</v>
      </c>
      <c r="C48" s="31">
        <f>B48*SUM(B41:B42)</f>
        <v>141750000</v>
      </c>
      <c r="D48" s="64"/>
      <c r="E48" s="65"/>
      <c r="F48" s="66"/>
    </row>
    <row r="49" spans="1:8" x14ac:dyDescent="0.25">
      <c r="A49" s="44" t="s">
        <v>65</v>
      </c>
      <c r="B49" s="63">
        <f>+B39</f>
        <v>70</v>
      </c>
      <c r="C49" s="31">
        <f>B49*B43</f>
        <v>15750000</v>
      </c>
      <c r="D49" s="64"/>
      <c r="E49" s="106"/>
      <c r="F49" s="107"/>
    </row>
    <row r="50" spans="1:8" ht="15.75" thickBot="1" x14ac:dyDescent="0.3">
      <c r="C50" s="39">
        <f>SUM(C47:C49)</f>
        <v>214375000</v>
      </c>
      <c r="D50" s="67"/>
      <c r="E50" s="101"/>
      <c r="F50" s="103"/>
    </row>
    <row r="51" spans="1:8" ht="15.75" thickTop="1" x14ac:dyDescent="0.25">
      <c r="D51" s="67"/>
      <c r="E51" s="101"/>
      <c r="F51" s="101"/>
    </row>
    <row r="52" spans="1:8" x14ac:dyDescent="0.25">
      <c r="A52" s="44" t="s">
        <v>128</v>
      </c>
      <c r="C52" s="48" t="s">
        <v>144</v>
      </c>
      <c r="D52" s="67"/>
      <c r="E52" s="101"/>
      <c r="F52" s="101"/>
    </row>
    <row r="53" spans="1:8" x14ac:dyDescent="0.25">
      <c r="A53" s="68" t="s">
        <v>130</v>
      </c>
      <c r="C53" s="65">
        <f>263000*1.4</f>
        <v>368200</v>
      </c>
      <c r="D53" s="64"/>
      <c r="E53" s="101"/>
      <c r="F53" s="101"/>
    </row>
    <row r="54" spans="1:8" x14ac:dyDescent="0.25">
      <c r="A54" s="68" t="s">
        <v>131</v>
      </c>
      <c r="C54" s="65">
        <f>165000*1.4</f>
        <v>230999.99999999997</v>
      </c>
      <c r="D54" s="64"/>
      <c r="E54" s="101"/>
      <c r="F54" s="101"/>
    </row>
    <row r="55" spans="1:8" x14ac:dyDescent="0.25">
      <c r="A55" s="68" t="s">
        <v>132</v>
      </c>
      <c r="C55" s="65">
        <f>738000*1.4</f>
        <v>1033199.9999999999</v>
      </c>
      <c r="D55" s="64"/>
      <c r="E55" s="101"/>
      <c r="F55" s="101"/>
      <c r="H55" s="104"/>
    </row>
    <row r="56" spans="1:8" x14ac:dyDescent="0.25">
      <c r="A56" s="68" t="s">
        <v>133</v>
      </c>
      <c r="C56" s="65">
        <v>2000000</v>
      </c>
      <c r="D56" s="64"/>
      <c r="E56" s="101"/>
      <c r="F56" s="101"/>
    </row>
    <row r="57" spans="1:8" x14ac:dyDescent="0.25">
      <c r="A57" s="68" t="s">
        <v>134</v>
      </c>
      <c r="C57" s="65">
        <f>500000*1.4</f>
        <v>700000</v>
      </c>
      <c r="D57" s="64"/>
      <c r="E57" s="101"/>
      <c r="F57" s="101"/>
    </row>
    <row r="58" spans="1:8" x14ac:dyDescent="0.25">
      <c r="C58" s="69">
        <f>SUM(C53:C57)</f>
        <v>4332400</v>
      </c>
      <c r="D58" s="64"/>
      <c r="E58" s="101"/>
      <c r="F58" s="102"/>
    </row>
    <row r="60" spans="1:8" x14ac:dyDescent="0.25">
      <c r="A60" s="70" t="s">
        <v>145</v>
      </c>
      <c r="B60" s="79"/>
      <c r="C60" s="72">
        <f>C50+C58</f>
        <v>218707400</v>
      </c>
      <c r="D60" s="88">
        <f>C60-G60</f>
        <v>21508200</v>
      </c>
      <c r="E60" s="89" t="s">
        <v>135</v>
      </c>
      <c r="F60" s="90"/>
      <c r="G60" s="91">
        <v>197199200</v>
      </c>
    </row>
    <row r="61" spans="1:8" x14ac:dyDescent="0.25">
      <c r="C61" s="74"/>
      <c r="F61" s="75"/>
    </row>
    <row r="62" spans="1:8" x14ac:dyDescent="0.25">
      <c r="F62" s="31"/>
    </row>
    <row r="63" spans="1:8" x14ac:dyDescent="0.25">
      <c r="C63" s="76"/>
      <c r="D63" s="73"/>
    </row>
    <row r="64" spans="1:8" x14ac:dyDescent="0.25">
      <c r="C64" s="54"/>
      <c r="D64" s="73"/>
    </row>
  </sheetData>
  <mergeCells count="1">
    <mergeCell ref="F14:F17"/>
  </mergeCells>
  <pageMargins left="0.7" right="0.7" top="0.75" bottom="0.75" header="0.3" footer="0.3"/>
  <pageSetup orientation="landscape" horizontalDpi="4294967293" verticalDpi="4294967293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26D59A010A8340A2E25458694F2546" ma:contentTypeVersion="13" ma:contentTypeDescription="Create a new document." ma:contentTypeScope="" ma:versionID="6348aba5593bddfc5fe8dbe5fabfefb8">
  <xsd:schema xmlns:xsd="http://www.w3.org/2001/XMLSchema" xmlns:xs="http://www.w3.org/2001/XMLSchema" xmlns:p="http://schemas.microsoft.com/office/2006/metadata/properties" xmlns:ns3="98b5a774-93ad-48ed-b3d9-82c8ebc4ce66" xmlns:ns4="376ec73f-1993-4e02-907e-bf921f40ae42" targetNamespace="http://schemas.microsoft.com/office/2006/metadata/properties" ma:root="true" ma:fieldsID="5faf09569c6297249b44636c19cbc3ad" ns3:_="" ns4:_="">
    <xsd:import namespace="98b5a774-93ad-48ed-b3d9-82c8ebc4ce66"/>
    <xsd:import namespace="376ec73f-1993-4e02-907e-bf921f40ae4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5a774-93ad-48ed-b3d9-82c8ebc4ce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6ec73f-1993-4e02-907e-bf921f40ae42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94FBD2-C3B4-412E-9AC2-E5FA7B86EF5E}">
  <ds:schemaRefs>
    <ds:schemaRef ds:uri="http://purl.org/dc/elements/1.1/"/>
    <ds:schemaRef ds:uri="http://schemas.microsoft.com/office/2006/metadata/properties"/>
    <ds:schemaRef ds:uri="376ec73f-1993-4e02-907e-bf921f40ae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8b5a774-93ad-48ed-b3d9-82c8ebc4ce66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3896A82-B1E5-4F6C-BEBA-F194F80548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0257F0-A50D-42BE-91A4-55E2E81975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b5a774-93ad-48ed-b3d9-82c8ebc4ce66"/>
    <ds:schemaRef ds:uri="376ec73f-1993-4e02-907e-bf921f40ae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CalPA DR4-Q3 2020</vt:lpstr>
      <vt:lpstr>CalPA DR4-Q3 2021</vt:lpstr>
      <vt:lpstr>CalPA DR4-Q3 2022</vt:lpstr>
      <vt:lpstr>'CalPA DR4-Q3 2020'!Print_Area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Alfaro, Mark A (Contractor)</dc:creator>
  <cp:lastModifiedBy>AQUINO, LYNETTE</cp:lastModifiedBy>
  <cp:lastPrinted>2021-03-02T23:58:02Z</cp:lastPrinted>
  <dcterms:created xsi:type="dcterms:W3CDTF">2021-03-02T23:34:20Z</dcterms:created>
  <dcterms:modified xsi:type="dcterms:W3CDTF">2021-03-04T01:41:53Z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{514AC99E-EC13-4196-8B01-93609CCE0108}</vt:lpwstr>
  </property>
  <property fmtid="{D5CDD505-2E9C-101B-9397-08002B2CF9AE}" pid="3" name="ContentTypeId">
    <vt:lpwstr>0x0101005026D59A010A8340A2E25458694F2546</vt:lpwstr>
  </property>
</Properties>
</file>